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345" windowWidth="15300" windowHeight="8970" tabRatio="944" activeTab="3"/>
  </bookViews>
  <sheets>
    <sheet name="בעלי שליטה" sheetId="1" r:id="rId1"/>
    <sheet name="שכירים" sheetId="2" r:id="rId2"/>
    <sheet name="שכיר- משכורת גבוהה" sheetId="3" r:id="rId3"/>
    <sheet name="עצמאיים" sheetId="4" r:id="rId4"/>
    <sheet name="דוח תאימות" sheetId="5" r:id="rId5"/>
  </sheets>
  <externalReferences>
    <externalReference r:id="rId8"/>
  </externalReferences>
  <definedNames>
    <definedName name="age">'[1]פרמטרים'!$D$5:$D$8</definedName>
    <definedName name="sex">'[1]פרמטרים'!$B$5:$B$6</definedName>
    <definedName name="_xlnm.Print_Area" localSheetId="0">'בעלי שליטה'!$A$1:$G$75</definedName>
    <definedName name="_xlnm.Print_Area" localSheetId="3">'עצמאיים'!$A$1:$F$56</definedName>
  </definedNames>
  <calcPr fullCalcOnLoad="1"/>
</workbook>
</file>

<file path=xl/sharedStrings.xml><?xml version="1.0" encoding="utf-8"?>
<sst xmlns="http://schemas.openxmlformats.org/spreadsheetml/2006/main" count="281" uniqueCount="147">
  <si>
    <t>סה"כ</t>
  </si>
  <si>
    <t>פיצויים</t>
  </si>
  <si>
    <t>תג' עובד</t>
  </si>
  <si>
    <t>תג' מעסיק</t>
  </si>
  <si>
    <t>תכנון הפרשות ל"חבר בעל שליטה"</t>
  </si>
  <si>
    <t>למבוטח שכיר</t>
  </si>
  <si>
    <t>הכנסה לא מבוטחת</t>
  </si>
  <si>
    <t>מס שולי</t>
  </si>
  <si>
    <t>הוצאה שנתית מוכרת :</t>
  </si>
  <si>
    <t>תקרת הכנסה</t>
  </si>
  <si>
    <t xml:space="preserve">גיל: </t>
  </si>
  <si>
    <t>אלטרנטיבה א'</t>
  </si>
  <si>
    <t>הסבר :</t>
  </si>
  <si>
    <t>הפרשה לסעיף תגמולים ופיצויים (בפוליסת קצבה ) עד לתקרה המותרת לפירמה.</t>
  </si>
  <si>
    <t>תכנון :</t>
  </si>
  <si>
    <t>שכר מבוטח :</t>
  </si>
  <si>
    <t>סוג ההפרשה</t>
  </si>
  <si>
    <t>בש"ח</t>
  </si>
  <si>
    <t>באחוזים</t>
  </si>
  <si>
    <t>מס הכנסה</t>
  </si>
  <si>
    <t>ע"ח מס הכנסה</t>
  </si>
  <si>
    <t xml:space="preserve">פיצויים : </t>
  </si>
  <si>
    <t>ע"ח הפירמה</t>
  </si>
  <si>
    <t>תגמולים :</t>
  </si>
  <si>
    <t>ע"ח עובד</t>
  </si>
  <si>
    <t>עובד (תג' לעצמאים)</t>
  </si>
  <si>
    <t>שכר מבוטח באופן עצמאי</t>
  </si>
  <si>
    <t>המס הכולל</t>
  </si>
  <si>
    <t>סה"כ פרמיה :</t>
  </si>
  <si>
    <t>אלטרנטיבה ב'</t>
  </si>
  <si>
    <t>הפרשת עובד בלבד, ללא שכר מבוטח</t>
  </si>
  <si>
    <t>דף 1 מתוך 2</t>
  </si>
  <si>
    <t>אלטרנטיבה ג'</t>
  </si>
  <si>
    <t>הפרשת עובד לסעיף 47(ב'1) וכל שאר הפרשות עובד ומעביד נגזרות בהתאם</t>
  </si>
  <si>
    <t>בכבוד-רב,</t>
  </si>
  <si>
    <t>החל</t>
  </si>
  <si>
    <t>עד</t>
  </si>
  <si>
    <t>שכר העובד</t>
  </si>
  <si>
    <t>שמ"ב</t>
  </si>
  <si>
    <t>שכר מקסימלי לביטוח לאומי</t>
  </si>
  <si>
    <t>ביטוח לאומי - עובד</t>
  </si>
  <si>
    <t>מחלק השכר שעד 60%</t>
  </si>
  <si>
    <t>מעסיק</t>
  </si>
  <si>
    <t>עובד</t>
  </si>
  <si>
    <t>דמי ביטוח לאומי</t>
  </si>
  <si>
    <t>דמי ביטוח בריאות</t>
  </si>
  <si>
    <t>-</t>
  </si>
  <si>
    <t>ביטוח בריאות - עובד</t>
  </si>
  <si>
    <t>סה"כ מיסי ביטוח לאומי לעובד:</t>
  </si>
  <si>
    <t>באחוזים:</t>
  </si>
  <si>
    <t>ביטוח לאומי - מעסיק</t>
  </si>
  <si>
    <t>עצמאי</t>
  </si>
  <si>
    <r>
      <t>לסוכן:</t>
    </r>
    <r>
      <rPr>
        <sz val="10"/>
        <rFont val="Arial"/>
        <family val="0"/>
      </rPr>
      <t xml:space="preserve"> הקש את שמך לצורך קבלת תדפיס עם שמך</t>
    </r>
  </si>
  <si>
    <t>לכבוד:</t>
  </si>
  <si>
    <t>להלן תכנון הפרשות חודשיות אופימליות לקופת-גמל על שמך לצורך הטבות מס מקסימליות :</t>
  </si>
  <si>
    <t>שכר ממוצע במשק:</t>
  </si>
  <si>
    <t>תקרת הכנסה לעצמאיים :</t>
  </si>
  <si>
    <t>הזנת נתונים:</t>
  </si>
  <si>
    <t>גיל בשנת המס הנוכחית:</t>
  </si>
  <si>
    <t>הכנסה חודשית בהיותך עצמאי:</t>
  </si>
  <si>
    <t>מס שולי (מוזן אוטומטי):</t>
  </si>
  <si>
    <t>שכר:</t>
  </si>
  <si>
    <t>סעיף</t>
  </si>
  <si>
    <t>הפרשה</t>
  </si>
  <si>
    <t>שמ"מ</t>
  </si>
  <si>
    <t>תקרת ביטוח לאומי</t>
  </si>
  <si>
    <t xml:space="preserve">ע"ח ביטוח לאומי </t>
  </si>
  <si>
    <t>עד 60% מהשמ"מ</t>
  </si>
  <si>
    <t>מעל 60% מהשמ"מ</t>
  </si>
  <si>
    <t>סה"כ פרמיה:</t>
  </si>
  <si>
    <t>סה"כ ע"ח מס הכנסה וביטוח לאומי :</t>
  </si>
  <si>
    <t>באחוזים :</t>
  </si>
  <si>
    <t>ביטוח לאומי - עצמאי</t>
  </si>
  <si>
    <t>ביטוח בריאות - עצמאי</t>
  </si>
  <si>
    <t>סה"כ ביטוח לאומי + ביטוח בריאות</t>
  </si>
  <si>
    <t>47 (ב1)</t>
  </si>
  <si>
    <t>45 (א)(ה)</t>
  </si>
  <si>
    <t>א</t>
  </si>
  <si>
    <t>הפרשה לקופת-גמל לקיצבה</t>
  </si>
  <si>
    <t>תקרת הפרשה לקה"ש</t>
  </si>
  <si>
    <t>הפרשה לקרן השתלמות</t>
  </si>
  <si>
    <r>
      <t xml:space="preserve">הוצאה שנתית מוכרת לעצמאי </t>
    </r>
    <r>
      <rPr>
        <u val="single"/>
        <sz val="10"/>
        <rFont val="Arial"/>
        <family val="2"/>
      </rPr>
      <t>לקופ"ג</t>
    </r>
    <r>
      <rPr>
        <sz val="10"/>
        <rFont val="Arial"/>
        <family val="0"/>
      </rPr>
      <t xml:space="preserve"> :</t>
    </r>
  </si>
  <si>
    <t>דף 2 מתוך 2</t>
  </si>
  <si>
    <t>נתוני 2009</t>
  </si>
  <si>
    <t xml:space="preserve">שכר החבר בעל"ש:   </t>
  </si>
  <si>
    <t>לא משלמת</t>
  </si>
  <si>
    <t>ישראלי ישראל</t>
  </si>
  <si>
    <r>
      <t xml:space="preserve">תקרת שכר חודשי להפרשה </t>
    </r>
    <r>
      <rPr>
        <u val="single"/>
        <sz val="10"/>
        <rFont val="Arial"/>
        <family val="2"/>
      </rPr>
      <t>לקרה"ש</t>
    </r>
    <r>
      <rPr>
        <sz val="10"/>
        <rFont val="Arial"/>
        <family val="0"/>
      </rPr>
      <t>:</t>
    </r>
  </si>
  <si>
    <t>ע"ח מס הכנסה :</t>
  </si>
  <si>
    <t>יתרת השכר עד לתקרת שכר כוללת של 32,060 ₪ , אך לא יותר מ - 8,100 ₪ - 47(ב'1)</t>
  </si>
  <si>
    <t>נתוני תקרות לשנת 2010</t>
  </si>
  <si>
    <t>ברק קרני - פיננסיים ביטוח וחסכון</t>
  </si>
  <si>
    <t>ברק קרני</t>
  </si>
  <si>
    <t>שיעור מס</t>
  </si>
  <si>
    <t xml:space="preserve">הכנסה לעמית עצמאי סעיף 47 (א) (3) ו – (5) :   </t>
  </si>
  <si>
    <t>חסכון במס שנתי</t>
  </si>
  <si>
    <t>קרן השתלמות עצמאי</t>
  </si>
  <si>
    <t>שנה</t>
  </si>
  <si>
    <t>סה"כ הפקדה מוכרת בשנה</t>
  </si>
  <si>
    <r>
      <t xml:space="preserve">סה"כ הפקדה מוכרת בשנה </t>
    </r>
    <r>
      <rPr>
        <u val="single"/>
        <sz val="10"/>
        <rFont val="Arial"/>
        <family val="2"/>
      </rPr>
      <t>לקרה"ש</t>
    </r>
    <r>
      <rPr>
        <sz val="10"/>
        <rFont val="Arial"/>
        <family val="0"/>
      </rPr>
      <t>:</t>
    </r>
  </si>
  <si>
    <t>הפקדה מרבית מוכרת</t>
  </si>
  <si>
    <t>הפקדה מוטבת</t>
  </si>
  <si>
    <t>הטבת מס חודשית</t>
  </si>
  <si>
    <t>שיעור המס</t>
  </si>
  <si>
    <t>*ניכוי</t>
  </si>
  <si>
    <t>הכנסה חודשית לצורך הפרשות לקופ"ג לקצבה ולקרן השתלמות :</t>
  </si>
  <si>
    <t>הפרשות שנתיות- עמית מוטב</t>
  </si>
  <si>
    <t>תכנון מס - הפרשות אופטימליות "עצמאי"</t>
  </si>
  <si>
    <t>ברק קרני - פיננסים ביטוח וחסכון</t>
  </si>
  <si>
    <t>ט.ל.ח</t>
  </si>
  <si>
    <t>לשירותך,</t>
  </si>
  <si>
    <t>תכנון מס - הפרשות אופטימליות "שכיר"</t>
  </si>
  <si>
    <t>נתוני ביטוח לאומי 2012</t>
  </si>
  <si>
    <r>
      <t xml:space="preserve">סה"כ הפקדה מוטבת בשנה </t>
    </r>
    <r>
      <rPr>
        <u val="single"/>
        <sz val="10"/>
        <rFont val="Arial"/>
        <family val="2"/>
      </rPr>
      <t>לקרה"ש</t>
    </r>
    <r>
      <rPr>
        <sz val="10"/>
        <rFont val="Arial"/>
        <family val="0"/>
      </rPr>
      <t>:</t>
    </r>
  </si>
  <si>
    <t>תקרת "הכנסה קובעת" של יחיד לגבי הפקדה בקרן השתלמות לעצמאים</t>
  </si>
  <si>
    <t>הפרשה לקרן השתלמות (חודשית)</t>
  </si>
  <si>
    <t>סה"כ ע"ח מס הכנסה וביטוח לאומי:</t>
  </si>
  <si>
    <t>% הטבת מס</t>
  </si>
  <si>
    <t>% הפקדה לקרן</t>
  </si>
  <si>
    <t>הפרשה לקופת גמל לקצבה (חודשית)</t>
  </si>
  <si>
    <t>דוח תאימות עבור מחולל בעלי שליטה  ועצמאיים 2015.xls</t>
  </si>
  <si>
    <t>הפעל ב- 07/12/2015 08:16</t>
  </si>
  <si>
    <t>אין תמיכה בתכונות הבאות בחוברת עבודה זו בגירסאות קודמות של Excel. תכונות אלה יאבדו או ייפגעו בעת פתיחת חוברת עבודה זו בגירסה קודמת של Excel או אם תשמור אותה בתבנית קובץ קודמת.</t>
  </si>
  <si>
    <t>אובדן איכות מינימלי</t>
  </si>
  <si>
    <t>מספר המופעים</t>
  </si>
  <si>
    <t>גירסה</t>
  </si>
  <si>
    <t>נוסחאות מסוימות בחוברת עבודה זו מקושרות אל חוברות עבודה אחרות שסגורות. כאשר נוסחאות אלה מחושבות מחדש בגירסאות קודמות של Excel מבלי לפתוח את חוברות העבודה המקושרות, אין אפשרות להחזיר תווים מעבר למגבלה של 255 תווים.</t>
  </si>
  <si>
    <t>Excel 97-2003</t>
  </si>
  <si>
    <t>2
שמות מוגדרים</t>
  </si>
  <si>
    <t>תאים או סגנונות מסוימים בחוברת עבודה זו מכילים עיצוב שאין בו תמיכה בתבנית הקובץ שנבחרה. תבניות אלה יומרו לתבנית הזמינה הקרובה ביותר.</t>
  </si>
  <si>
    <t>יחיאל אמויאל</t>
  </si>
  <si>
    <t>נתוני 2017</t>
  </si>
  <si>
    <t>ברק קרני - הגנה והשקעה לחיים</t>
  </si>
  <si>
    <t>נתוני תקרות לשנת 2018</t>
  </si>
  <si>
    <t>תקרת הפקדה לצורך פטור ממס רווח הון</t>
  </si>
  <si>
    <t>סה"כ הפקדה מוטבת בשנה לעצמאי - קה"ש</t>
  </si>
  <si>
    <t>הכנסה לעמית עצמאי סעיף 47 (א) (3) ו – (5) :   הכנסה מזכה</t>
  </si>
  <si>
    <t>הכנסה</t>
  </si>
  <si>
    <t>עד מחצית השכר ההמוצע במשק 4.45%</t>
  </si>
  <si>
    <t>מעל מחצית השכר הממוצע במשק 12.55%</t>
  </si>
  <si>
    <t>סה"כ הפרשה</t>
  </si>
  <si>
    <t>הכנסה חודשית לצורך הפרשות לקופ"ג לקצבה :</t>
  </si>
  <si>
    <t>מינימום הפרשה עפ"י חוק (בהתאם לשכר)</t>
  </si>
  <si>
    <t>רווח הון</t>
  </si>
  <si>
    <t>הפרשה מקסימלית</t>
  </si>
  <si>
    <r>
      <t xml:space="preserve">הפקדה מרבית מוכרת לעצמאי </t>
    </r>
    <r>
      <rPr>
        <u val="single"/>
        <sz val="10"/>
        <rFont val="Arial"/>
        <family val="2"/>
      </rPr>
      <t>לקופ"ג</t>
    </r>
    <r>
      <rPr>
        <sz val="10"/>
        <rFont val="Arial"/>
        <family val="0"/>
      </rPr>
      <t xml:space="preserve"> :</t>
    </r>
  </si>
  <si>
    <t>תקרת הכנסה מזכה לעצמאיים :</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</si>
</sst>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
    <numFmt numFmtId="173" formatCode="0.0%"/>
    <numFmt numFmtId="174" formatCode="&quot;₪&quot;\ #,##0.0"/>
    <numFmt numFmtId="175" formatCode="&quot;₪&quot;\ #,##0.00"/>
    <numFmt numFmtId="176" formatCode="0.000%"/>
    <numFmt numFmtId="177" formatCode="0.00000%"/>
    <numFmt numFmtId="178" formatCode="[$-40D]dddd\ dd\ mmmm\ yyyy"/>
    <numFmt numFmtId="179" formatCode="[$-1000000]00000"/>
    <numFmt numFmtId="180" formatCode="0.00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0.0"/>
    <numFmt numFmtId="188" formatCode="&quot;₪&quot;\ #,##0.000"/>
  </numFmts>
  <fonts count="66">
    <font>
      <sz val="10"/>
      <name val="Arial"/>
      <family val="0"/>
    </font>
    <font>
      <sz val="8"/>
      <name val="Arial"/>
      <family val="2"/>
    </font>
    <font>
      <b/>
      <sz val="10"/>
      <name val="Arial"/>
      <family val="2"/>
    </font>
    <font>
      <sz val="12"/>
      <name val="Arial"/>
      <family val="2"/>
    </font>
    <font>
      <b/>
      <sz val="12"/>
      <name val="Arial"/>
      <family val="2"/>
    </font>
    <font>
      <b/>
      <sz val="14"/>
      <name val="Arial"/>
      <family val="2"/>
    </font>
    <font>
      <b/>
      <u val="single"/>
      <sz val="12"/>
      <name val="Arial"/>
      <family val="2"/>
    </font>
    <font>
      <b/>
      <sz val="9"/>
      <name val="Arial"/>
      <family val="2"/>
    </font>
    <font>
      <b/>
      <sz val="12"/>
      <color indexed="10"/>
      <name val="Arial"/>
      <family val="2"/>
    </font>
    <font>
      <b/>
      <sz val="11"/>
      <name val="Arial"/>
      <family val="2"/>
    </font>
    <font>
      <b/>
      <sz val="10"/>
      <color indexed="10"/>
      <name val="Arial"/>
      <family val="2"/>
    </font>
    <font>
      <b/>
      <u val="single"/>
      <sz val="10"/>
      <name val="Arial"/>
      <family val="2"/>
    </font>
    <font>
      <b/>
      <sz val="10"/>
      <color indexed="12"/>
      <name val="Arial"/>
      <family val="2"/>
    </font>
    <font>
      <u val="single"/>
      <sz val="10"/>
      <name val="Arial"/>
      <family val="2"/>
    </font>
    <font>
      <b/>
      <u val="single"/>
      <sz val="10"/>
      <color indexed="10"/>
      <name val="Arial"/>
      <family val="2"/>
    </font>
    <font>
      <sz val="10"/>
      <color indexed="12"/>
      <name val="Arial"/>
      <family val="2"/>
    </font>
    <font>
      <sz val="10"/>
      <color indexed="10"/>
      <name val="Arial"/>
      <family val="2"/>
    </font>
    <font>
      <b/>
      <u val="single"/>
      <sz val="10"/>
      <color indexed="49"/>
      <name val="Tahoma"/>
      <family val="2"/>
    </font>
    <font>
      <b/>
      <sz val="10"/>
      <name val="Tahoma"/>
      <family val="2"/>
    </font>
    <font>
      <sz val="9"/>
      <name val="Arial"/>
      <family val="2"/>
    </font>
    <font>
      <b/>
      <sz val="12"/>
      <color indexed="12"/>
      <name val="Arial"/>
      <family val="2"/>
    </font>
    <font>
      <sz val="11"/>
      <name val="Arial"/>
      <family val="2"/>
    </font>
    <font>
      <sz val="10"/>
      <color indexed="61"/>
      <name val="Arial"/>
      <family val="2"/>
    </font>
    <font>
      <b/>
      <sz val="10"/>
      <color indexed="61"/>
      <name val="Arial"/>
      <family val="2"/>
    </font>
    <font>
      <u val="single"/>
      <sz val="10"/>
      <color indexed="12"/>
      <name val="Arial"/>
      <family val="2"/>
    </font>
    <font>
      <u val="single"/>
      <sz val="10"/>
      <color indexed="36"/>
      <name val="Arial"/>
      <family val="2"/>
    </font>
    <font>
      <b/>
      <u val="single"/>
      <sz val="11"/>
      <color indexed="10"/>
      <name val="Arial"/>
      <family val="2"/>
    </font>
    <font>
      <b/>
      <u val="single"/>
      <sz val="11"/>
      <color indexed="12"/>
      <name val="Arial"/>
      <family val="2"/>
    </font>
    <font>
      <b/>
      <sz val="10"/>
      <color indexed="8"/>
      <name val="Arial"/>
      <family val="2"/>
    </font>
    <font>
      <b/>
      <sz val="11"/>
      <color indexed="8"/>
      <name val="Arial"/>
      <family val="2"/>
    </font>
    <font>
      <sz val="9"/>
      <color indexed="8"/>
      <name val="Arial"/>
      <family val="2"/>
    </font>
    <font>
      <b/>
      <sz val="11"/>
      <color indexed="12"/>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
      <b/>
      <sz val="10"/>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15"/>
        <bgColor indexed="64"/>
      </patternFill>
    </fill>
    <fill>
      <patternFill patternType="solid">
        <fgColor rgb="FFFFFF00"/>
        <bgColor indexed="64"/>
      </patternFill>
    </fill>
    <fill>
      <patternFill patternType="solid">
        <fgColor rgb="FFFFC000"/>
        <bgColor indexed="64"/>
      </patternFill>
    </fill>
    <fill>
      <patternFill patternType="solid">
        <fgColor rgb="FFC00000"/>
        <bgColor indexed="64"/>
      </patternFill>
    </fill>
  </fills>
  <borders count="6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style="thin"/>
      <top style="thin"/>
      <bottom style="thin"/>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style="medium"/>
    </border>
    <border>
      <left style="thin"/>
      <right>
        <color indexed="63"/>
      </right>
      <top>
        <color indexed="63"/>
      </top>
      <bottom>
        <color indexed="63"/>
      </bottom>
    </border>
    <border>
      <left style="thin"/>
      <right style="medium"/>
      <top style="medium"/>
      <bottom style="thin"/>
    </border>
    <border>
      <left style="medium"/>
      <right style="medium"/>
      <top style="medium"/>
      <bottom>
        <color indexed="63"/>
      </bottom>
    </border>
    <border>
      <left>
        <color indexed="63"/>
      </left>
      <right style="thin"/>
      <top style="medium"/>
      <bottom>
        <color indexed="63"/>
      </bottom>
    </border>
    <border>
      <left style="thin"/>
      <right style="medium"/>
      <top style="medium"/>
      <bottom>
        <color indexed="63"/>
      </bottom>
    </border>
    <border>
      <left style="medium"/>
      <right style="thin"/>
      <top style="medium"/>
      <bottom>
        <color indexed="63"/>
      </bottom>
    </border>
    <border>
      <left style="thin"/>
      <right>
        <color indexed="63"/>
      </right>
      <top style="medium"/>
      <bottom style="thin"/>
    </border>
    <border>
      <left style="thin"/>
      <right style="thin"/>
      <top style="medium"/>
      <bottom style="thin"/>
    </border>
    <border>
      <left style="medium"/>
      <right style="thin"/>
      <top>
        <color indexed="63"/>
      </top>
      <bottom>
        <color indexed="63"/>
      </bottom>
    </border>
    <border>
      <left style="medium"/>
      <right style="thin"/>
      <top>
        <color indexed="63"/>
      </top>
      <bottom style="medium"/>
    </border>
    <border>
      <left style="thin"/>
      <right>
        <color indexed="63"/>
      </right>
      <top style="thin"/>
      <bottom style="medium"/>
    </border>
    <border>
      <left style="thin"/>
      <right style="thin"/>
      <top style="thin"/>
      <bottom style="medium"/>
    </border>
    <border>
      <left>
        <color indexed="63"/>
      </left>
      <right style="thin"/>
      <top>
        <color indexed="63"/>
      </top>
      <bottom>
        <color indexed="63"/>
      </bottom>
    </border>
    <border>
      <left style="thin"/>
      <right style="thin"/>
      <top style="medium"/>
      <bottom style="mediu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style="thin"/>
    </border>
    <border>
      <left style="medium"/>
      <right style="thin"/>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medium"/>
    </border>
    <border>
      <left style="thin"/>
      <right>
        <color indexed="63"/>
      </right>
      <top style="medium"/>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thin"/>
    </border>
    <border>
      <left>
        <color indexed="63"/>
      </left>
      <right style="medium"/>
      <top style="medium"/>
      <bottom style="thin"/>
    </border>
    <border>
      <left style="thin"/>
      <right>
        <color indexed="63"/>
      </right>
      <top style="thin"/>
      <bottom style="thin"/>
    </border>
    <border>
      <left style="thin"/>
      <right style="medium"/>
      <top>
        <color indexed="63"/>
      </top>
      <bottom style="thin"/>
    </border>
    <border>
      <left style="thin"/>
      <right style="medium"/>
      <top style="thin"/>
      <bottom style="medium"/>
    </border>
    <border>
      <left style="medium"/>
      <right style="thin"/>
      <top>
        <color indexed="63"/>
      </top>
      <bottom style="thin"/>
    </border>
    <border>
      <left style="medium"/>
      <right style="thin"/>
      <top style="thin"/>
      <bottom style="thin"/>
    </border>
    <border>
      <left style="thin"/>
      <right style="medium"/>
      <top style="thin"/>
      <bottom style="thin"/>
    </border>
    <border>
      <left style="thin"/>
      <right style="medium"/>
      <top>
        <color indexed="63"/>
      </top>
      <bottom style="medium"/>
    </border>
    <border>
      <left style="thin"/>
      <right>
        <color indexed="63"/>
      </right>
      <top>
        <color indexed="63"/>
      </top>
      <bottom style="thin"/>
    </border>
    <border>
      <left style="medium"/>
      <right style="thin"/>
      <top style="medium"/>
      <bottom style="thin"/>
    </border>
    <border>
      <left style="thin"/>
      <right style="medium"/>
      <top style="medium"/>
      <bottom style="medium"/>
    </border>
    <border>
      <left>
        <color indexed="63"/>
      </left>
      <right style="thin"/>
      <top style="thin"/>
      <bottom style="thin"/>
    </border>
    <border>
      <left style="medium"/>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style="thin"/>
      <top style="thin"/>
      <bottom>
        <color indexed="63"/>
      </bottom>
    </border>
    <border>
      <left>
        <color indexed="63"/>
      </left>
      <right>
        <color indexed="63"/>
      </right>
      <top style="medium"/>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6" borderId="1" applyNumberFormat="0" applyFont="0" applyAlignment="0" applyProtection="0"/>
    <xf numFmtId="0" fontId="50" fillId="27" borderId="2" applyNumberFormat="0" applyAlignment="0" applyProtection="0"/>
    <xf numFmtId="0" fontId="51" fillId="28" borderId="0" applyNumberFormat="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42" fontId="0" fillId="0" borderId="0" applyFont="0" applyFill="0" applyBorder="0" applyAlignment="0" applyProtection="0"/>
    <xf numFmtId="0" fontId="58" fillId="29" borderId="0" applyNumberFormat="0" applyBorder="0" applyAlignment="0" applyProtection="0"/>
    <xf numFmtId="0" fontId="59" fillId="0" borderId="6" applyNumberFormat="0" applyFill="0" applyAlignment="0" applyProtection="0"/>
    <xf numFmtId="0" fontId="60" fillId="27" borderId="7" applyNumberFormat="0" applyAlignment="0" applyProtection="0"/>
    <xf numFmtId="41" fontId="0" fillId="0" borderId="0" applyFont="0" applyFill="0" applyBorder="0" applyAlignment="0" applyProtection="0"/>
    <xf numFmtId="0" fontId="61" fillId="30" borderId="2" applyNumberFormat="0" applyAlignment="0" applyProtection="0"/>
    <xf numFmtId="0" fontId="62" fillId="31" borderId="0" applyNumberFormat="0" applyBorder="0" applyAlignment="0" applyProtection="0"/>
    <xf numFmtId="0" fontId="63" fillId="32" borderId="8" applyNumberFormat="0" applyAlignment="0" applyProtection="0"/>
    <xf numFmtId="0" fontId="64" fillId="0" borderId="9" applyNumberFormat="0" applyFill="0" applyAlignment="0" applyProtection="0"/>
  </cellStyleXfs>
  <cellXfs count="416">
    <xf numFmtId="0" fontId="0" fillId="0" borderId="0" xfId="0" applyAlignment="1">
      <alignment/>
    </xf>
    <xf numFmtId="172" fontId="0" fillId="0" borderId="0" xfId="0" applyNumberFormat="1" applyAlignment="1">
      <alignment/>
    </xf>
    <xf numFmtId="0" fontId="2" fillId="0" borderId="0" xfId="0" applyFont="1" applyBorder="1" applyAlignment="1">
      <alignment/>
    </xf>
    <xf numFmtId="0" fontId="0" fillId="0" borderId="0" xfId="0" applyBorder="1" applyAlignment="1">
      <alignment/>
    </xf>
    <xf numFmtId="0" fontId="0" fillId="0" borderId="0" xfId="0" applyFill="1" applyAlignment="1">
      <alignment/>
    </xf>
    <xf numFmtId="0" fontId="0" fillId="0" borderId="0" xfId="0" applyAlignment="1">
      <alignment horizontal="center"/>
    </xf>
    <xf numFmtId="0" fontId="0" fillId="0" borderId="0" xfId="0" applyFill="1" applyBorder="1" applyAlignment="1">
      <alignment/>
    </xf>
    <xf numFmtId="0" fontId="0" fillId="0" borderId="0" xfId="0" applyFont="1" applyAlignment="1">
      <alignment/>
    </xf>
    <xf numFmtId="172" fontId="2" fillId="0" borderId="0" xfId="0" applyNumberFormat="1" applyFont="1" applyAlignment="1">
      <alignment/>
    </xf>
    <xf numFmtId="172" fontId="2" fillId="0" borderId="0" xfId="0" applyNumberFormat="1" applyFont="1" applyBorder="1" applyAlignment="1">
      <alignment/>
    </xf>
    <xf numFmtId="0" fontId="2" fillId="0" borderId="0" xfId="0" applyFont="1" applyAlignment="1">
      <alignment/>
    </xf>
    <xf numFmtId="172" fontId="0" fillId="0" borderId="0" xfId="0" applyNumberFormat="1" applyBorder="1" applyAlignment="1">
      <alignment/>
    </xf>
    <xf numFmtId="0" fontId="0" fillId="0" borderId="10" xfId="0" applyBorder="1" applyAlignment="1">
      <alignment/>
    </xf>
    <xf numFmtId="172" fontId="0" fillId="0" borderId="10" xfId="0" applyNumberFormat="1" applyBorder="1" applyAlignment="1">
      <alignment/>
    </xf>
    <xf numFmtId="0" fontId="2" fillId="33" borderId="0" xfId="0" applyFont="1" applyFill="1" applyAlignment="1">
      <alignment horizontal="center"/>
    </xf>
    <xf numFmtId="0" fontId="0" fillId="33" borderId="0" xfId="0" applyFill="1" applyAlignment="1">
      <alignment/>
    </xf>
    <xf numFmtId="0" fontId="0" fillId="33" borderId="0" xfId="0" applyFill="1" applyBorder="1" applyAlignment="1">
      <alignment/>
    </xf>
    <xf numFmtId="0" fontId="2" fillId="33" borderId="0" xfId="0" applyFont="1" applyFill="1" applyBorder="1" applyAlignment="1">
      <alignment/>
    </xf>
    <xf numFmtId="0" fontId="0" fillId="33" borderId="0" xfId="0" applyFill="1" applyBorder="1" applyAlignment="1">
      <alignment horizontal="center"/>
    </xf>
    <xf numFmtId="0" fontId="2" fillId="33" borderId="0" xfId="0" applyFont="1" applyFill="1" applyBorder="1" applyAlignment="1">
      <alignment/>
    </xf>
    <xf numFmtId="9" fontId="2" fillId="33" borderId="0" xfId="0" applyNumberFormat="1" applyFont="1" applyFill="1" applyBorder="1" applyAlignment="1">
      <alignment horizontal="center"/>
    </xf>
    <xf numFmtId="0" fontId="11" fillId="33" borderId="0" xfId="0" applyFont="1" applyFill="1" applyAlignment="1">
      <alignment/>
    </xf>
    <xf numFmtId="0" fontId="2" fillId="33" borderId="0" xfId="0" applyFont="1" applyFill="1" applyBorder="1" applyAlignment="1">
      <alignment horizontal="center"/>
    </xf>
    <xf numFmtId="0" fontId="2" fillId="33" borderId="0" xfId="0" applyFont="1" applyFill="1" applyBorder="1" applyAlignment="1" applyProtection="1">
      <alignment horizontal="center"/>
      <protection locked="0"/>
    </xf>
    <xf numFmtId="0" fontId="5" fillId="33" borderId="0" xfId="0" applyFont="1" applyFill="1" applyAlignment="1">
      <alignment horizontal="center"/>
    </xf>
    <xf numFmtId="0" fontId="2" fillId="33" borderId="11" xfId="0" applyFont="1" applyFill="1" applyBorder="1" applyAlignment="1">
      <alignment horizontal="center"/>
    </xf>
    <xf numFmtId="0" fontId="14" fillId="33" borderId="12" xfId="0" applyFont="1" applyFill="1" applyBorder="1" applyAlignment="1">
      <alignment/>
    </xf>
    <xf numFmtId="0" fontId="0" fillId="33" borderId="13" xfId="0" applyFill="1" applyBorder="1" applyAlignment="1">
      <alignment/>
    </xf>
    <xf numFmtId="0" fontId="0" fillId="33" borderId="13" xfId="0" applyFill="1" applyBorder="1" applyAlignment="1">
      <alignment horizontal="center"/>
    </xf>
    <xf numFmtId="0" fontId="0" fillId="33" borderId="14" xfId="0" applyFill="1" applyBorder="1" applyAlignment="1">
      <alignment/>
    </xf>
    <xf numFmtId="0" fontId="0" fillId="33" borderId="15" xfId="0" applyFill="1" applyBorder="1" applyAlignment="1">
      <alignment/>
    </xf>
    <xf numFmtId="0" fontId="0" fillId="33" borderId="16" xfId="0"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0" fillId="33" borderId="11" xfId="0" applyFill="1" applyBorder="1" applyAlignment="1">
      <alignment/>
    </xf>
    <xf numFmtId="172" fontId="12" fillId="33" borderId="17" xfId="0" applyNumberFormat="1" applyFont="1" applyFill="1" applyBorder="1" applyAlignment="1">
      <alignment horizontal="center"/>
    </xf>
    <xf numFmtId="0" fontId="0" fillId="33" borderId="18" xfId="0" applyFill="1" applyBorder="1" applyAlignment="1">
      <alignment horizontal="center"/>
    </xf>
    <xf numFmtId="9" fontId="2" fillId="33" borderId="19" xfId="0" applyNumberFormat="1" applyFont="1" applyFill="1" applyBorder="1" applyAlignment="1">
      <alignment horizontal="center"/>
    </xf>
    <xf numFmtId="172" fontId="15" fillId="33" borderId="0" xfId="0" applyNumberFormat="1" applyFont="1" applyFill="1" applyBorder="1" applyAlignment="1">
      <alignment horizontal="center"/>
    </xf>
    <xf numFmtId="0" fontId="2" fillId="33" borderId="17" xfId="0" applyFont="1" applyFill="1" applyBorder="1" applyAlignment="1">
      <alignment/>
    </xf>
    <xf numFmtId="0" fontId="2" fillId="33" borderId="20" xfId="0" applyFont="1" applyFill="1" applyBorder="1" applyAlignment="1">
      <alignment horizontal="center"/>
    </xf>
    <xf numFmtId="0" fontId="2" fillId="33" borderId="21" xfId="0" applyFont="1" applyFill="1" applyBorder="1" applyAlignment="1">
      <alignment horizontal="center"/>
    </xf>
    <xf numFmtId="0" fontId="2" fillId="33" borderId="22" xfId="0" applyFont="1" applyFill="1" applyBorder="1" applyAlignment="1">
      <alignment horizontal="center"/>
    </xf>
    <xf numFmtId="0" fontId="2" fillId="33" borderId="23" xfId="0" applyFont="1" applyFill="1" applyBorder="1" applyAlignment="1">
      <alignment/>
    </xf>
    <xf numFmtId="0" fontId="0" fillId="33" borderId="24" xfId="0" applyFill="1" applyBorder="1" applyAlignment="1">
      <alignment/>
    </xf>
    <xf numFmtId="172" fontId="0" fillId="33" borderId="25" xfId="0" applyNumberFormat="1" applyFill="1" applyBorder="1" applyAlignment="1">
      <alignment/>
    </xf>
    <xf numFmtId="10" fontId="0" fillId="33" borderId="25" xfId="0" applyNumberFormat="1" applyFill="1" applyBorder="1" applyAlignment="1">
      <alignment/>
    </xf>
    <xf numFmtId="9" fontId="0" fillId="33" borderId="25" xfId="0" applyNumberFormat="1" applyFill="1" applyBorder="1" applyAlignment="1">
      <alignment horizontal="center"/>
    </xf>
    <xf numFmtId="0" fontId="2" fillId="33" borderId="26" xfId="0" applyFont="1" applyFill="1" applyBorder="1" applyAlignment="1">
      <alignment horizontal="center"/>
    </xf>
    <xf numFmtId="0" fontId="0" fillId="33" borderId="18" xfId="0" applyFill="1" applyBorder="1" applyAlignment="1">
      <alignment/>
    </xf>
    <xf numFmtId="172" fontId="0" fillId="33" borderId="0" xfId="0" applyNumberFormat="1" applyFill="1" applyBorder="1" applyAlignment="1">
      <alignment/>
    </xf>
    <xf numFmtId="172" fontId="0" fillId="33" borderId="16" xfId="0" applyNumberFormat="1" applyFill="1" applyBorder="1" applyAlignment="1">
      <alignment horizontal="center"/>
    </xf>
    <xf numFmtId="0" fontId="2" fillId="33" borderId="27" xfId="0" applyFont="1" applyFill="1" applyBorder="1" applyAlignment="1">
      <alignment/>
    </xf>
    <xf numFmtId="0" fontId="0" fillId="33" borderId="28" xfId="0" applyFill="1" applyBorder="1" applyAlignment="1">
      <alignment/>
    </xf>
    <xf numFmtId="172" fontId="0" fillId="33" borderId="29" xfId="0" applyNumberFormat="1" applyFill="1" applyBorder="1" applyAlignment="1">
      <alignment/>
    </xf>
    <xf numFmtId="10" fontId="0" fillId="33" borderId="29" xfId="0" applyNumberFormat="1" applyFill="1" applyBorder="1" applyAlignment="1">
      <alignment/>
    </xf>
    <xf numFmtId="9" fontId="0" fillId="33" borderId="29" xfId="0" applyNumberFormat="1" applyFill="1" applyBorder="1" applyAlignment="1">
      <alignment horizontal="center"/>
    </xf>
    <xf numFmtId="0" fontId="0" fillId="33" borderId="30" xfId="0" applyFill="1" applyBorder="1" applyAlignment="1">
      <alignment/>
    </xf>
    <xf numFmtId="172" fontId="0" fillId="33" borderId="0" xfId="0" applyNumberFormat="1" applyFill="1" applyBorder="1" applyAlignment="1">
      <alignment horizontal="center"/>
    </xf>
    <xf numFmtId="0" fontId="0" fillId="33" borderId="31" xfId="0" applyFill="1" applyBorder="1" applyAlignment="1">
      <alignment/>
    </xf>
    <xf numFmtId="172" fontId="0" fillId="33" borderId="31" xfId="0" applyNumberFormat="1" applyFill="1" applyBorder="1" applyAlignment="1">
      <alignment/>
    </xf>
    <xf numFmtId="10" fontId="0" fillId="33" borderId="32" xfId="0" applyNumberFormat="1" applyFill="1" applyBorder="1" applyAlignment="1">
      <alignment/>
    </xf>
    <xf numFmtId="9" fontId="0" fillId="33" borderId="31" xfId="0" applyNumberFormat="1" applyFill="1" applyBorder="1" applyAlignment="1">
      <alignment horizontal="center"/>
    </xf>
    <xf numFmtId="0" fontId="5" fillId="33" borderId="15" xfId="0" applyFont="1" applyFill="1" applyBorder="1" applyAlignment="1">
      <alignment/>
    </xf>
    <xf numFmtId="9" fontId="0" fillId="33" borderId="0" xfId="0" applyNumberFormat="1" applyFill="1" applyBorder="1" applyAlignment="1">
      <alignment horizontal="center"/>
    </xf>
    <xf numFmtId="0" fontId="10" fillId="33" borderId="11" xfId="0" applyFont="1" applyFill="1" applyBorder="1" applyAlignment="1">
      <alignment/>
    </xf>
    <xf numFmtId="172" fontId="10" fillId="33" borderId="33" xfId="0" applyNumberFormat="1" applyFont="1" applyFill="1" applyBorder="1" applyAlignment="1">
      <alignment/>
    </xf>
    <xf numFmtId="172" fontId="10" fillId="33" borderId="34" xfId="0" applyNumberFormat="1" applyFont="1" applyFill="1" applyBorder="1" applyAlignment="1">
      <alignment/>
    </xf>
    <xf numFmtId="0" fontId="16" fillId="33" borderId="35" xfId="0" applyFont="1" applyFill="1" applyBorder="1" applyAlignment="1">
      <alignment horizontal="right"/>
    </xf>
    <xf numFmtId="172" fontId="16" fillId="33" borderId="35" xfId="0" applyNumberFormat="1" applyFont="1" applyFill="1" applyBorder="1" applyAlignment="1">
      <alignment/>
    </xf>
    <xf numFmtId="173" fontId="0" fillId="33" borderId="35" xfId="0" applyNumberFormat="1" applyFill="1" applyBorder="1" applyAlignment="1">
      <alignment/>
    </xf>
    <xf numFmtId="9" fontId="0" fillId="33" borderId="10" xfId="0" applyNumberFormat="1" applyFill="1" applyBorder="1" applyAlignment="1">
      <alignment horizontal="center"/>
    </xf>
    <xf numFmtId="0" fontId="16" fillId="33" borderId="29" xfId="0" applyFont="1" applyFill="1" applyBorder="1" applyAlignment="1">
      <alignment horizontal="right"/>
    </xf>
    <xf numFmtId="172" fontId="16" fillId="33" borderId="29" xfId="0" applyNumberFormat="1" applyFont="1" applyFill="1" applyBorder="1" applyAlignment="1">
      <alignment/>
    </xf>
    <xf numFmtId="173" fontId="0" fillId="33" borderId="29" xfId="0" applyNumberFormat="1" applyFill="1" applyBorder="1" applyAlignment="1">
      <alignment/>
    </xf>
    <xf numFmtId="0" fontId="2" fillId="33" borderId="15" xfId="0" applyFont="1" applyFill="1" applyBorder="1" applyAlignment="1">
      <alignment horizontal="center" textRotation="110"/>
    </xf>
    <xf numFmtId="0" fontId="16" fillId="33" borderId="0" xfId="0" applyFont="1" applyFill="1" applyBorder="1" applyAlignment="1">
      <alignment horizontal="right"/>
    </xf>
    <xf numFmtId="172" fontId="16" fillId="33" borderId="0" xfId="0" applyNumberFormat="1" applyFont="1" applyFill="1" applyBorder="1" applyAlignment="1">
      <alignment/>
    </xf>
    <xf numFmtId="173" fontId="0" fillId="33" borderId="0" xfId="0" applyNumberFormat="1" applyFill="1" applyBorder="1" applyAlignment="1">
      <alignment/>
    </xf>
    <xf numFmtId="10" fontId="0" fillId="33" borderId="36" xfId="0" applyNumberFormat="1" applyFill="1" applyBorder="1" applyAlignment="1">
      <alignment horizontal="center"/>
    </xf>
    <xf numFmtId="0" fontId="0" fillId="33" borderId="37" xfId="0" applyFill="1" applyBorder="1" applyAlignment="1">
      <alignment/>
    </xf>
    <xf numFmtId="0" fontId="2" fillId="33" borderId="38" xfId="0" applyFont="1" applyFill="1" applyBorder="1" applyAlignment="1">
      <alignment/>
    </xf>
    <xf numFmtId="172" fontId="2" fillId="33" borderId="17" xfId="0" applyNumberFormat="1" applyFont="1" applyFill="1" applyBorder="1" applyAlignment="1">
      <alignment/>
    </xf>
    <xf numFmtId="173" fontId="0" fillId="33" borderId="39" xfId="0" applyNumberFormat="1" applyFill="1" applyBorder="1" applyAlignment="1">
      <alignment/>
    </xf>
    <xf numFmtId="172" fontId="2" fillId="33" borderId="0" xfId="0" applyNumberFormat="1" applyFont="1" applyFill="1" applyBorder="1" applyAlignment="1">
      <alignment/>
    </xf>
    <xf numFmtId="172" fontId="2" fillId="33" borderId="0" xfId="0" applyNumberFormat="1" applyFont="1" applyFill="1" applyBorder="1" applyAlignment="1">
      <alignment horizontal="center"/>
    </xf>
    <xf numFmtId="172" fontId="12" fillId="33" borderId="17" xfId="0" applyNumberFormat="1" applyFont="1" applyFill="1" applyBorder="1" applyAlignment="1">
      <alignment/>
    </xf>
    <xf numFmtId="0" fontId="2" fillId="33" borderId="20" xfId="0" applyFont="1" applyFill="1" applyBorder="1" applyAlignment="1">
      <alignment/>
    </xf>
    <xf numFmtId="0" fontId="2" fillId="33" borderId="40" xfId="0" applyFont="1" applyFill="1" applyBorder="1" applyAlignment="1">
      <alignment horizontal="center"/>
    </xf>
    <xf numFmtId="0" fontId="0" fillId="33" borderId="0" xfId="0" applyFill="1" applyAlignment="1">
      <alignment horizontal="center"/>
    </xf>
    <xf numFmtId="0" fontId="0" fillId="33" borderId="25" xfId="0" applyFill="1" applyBorder="1" applyAlignment="1">
      <alignment/>
    </xf>
    <xf numFmtId="0" fontId="0" fillId="33" borderId="29" xfId="0" applyFill="1" applyBorder="1" applyAlignment="1">
      <alignment/>
    </xf>
    <xf numFmtId="10" fontId="0" fillId="33" borderId="31" xfId="0" applyNumberFormat="1" applyFill="1" applyBorder="1" applyAlignment="1">
      <alignment/>
    </xf>
    <xf numFmtId="0" fontId="10" fillId="33" borderId="12" xfId="0" applyFont="1" applyFill="1" applyBorder="1" applyAlignment="1">
      <alignment/>
    </xf>
    <xf numFmtId="172" fontId="10" fillId="33" borderId="13" xfId="0" applyNumberFormat="1" applyFont="1" applyFill="1" applyBorder="1" applyAlignment="1">
      <alignment/>
    </xf>
    <xf numFmtId="172" fontId="10" fillId="33" borderId="21" xfId="0" applyNumberFormat="1" applyFont="1" applyFill="1" applyBorder="1" applyAlignment="1">
      <alignment/>
    </xf>
    <xf numFmtId="0" fontId="16" fillId="33" borderId="10" xfId="0" applyFont="1" applyFill="1" applyBorder="1" applyAlignment="1">
      <alignment horizontal="right"/>
    </xf>
    <xf numFmtId="172" fontId="16" fillId="33" borderId="10" xfId="0" applyNumberFormat="1" applyFont="1" applyFill="1" applyBorder="1" applyAlignment="1">
      <alignment/>
    </xf>
    <xf numFmtId="173" fontId="0" fillId="33" borderId="10" xfId="0" applyNumberFormat="1" applyFill="1" applyBorder="1" applyAlignment="1">
      <alignment/>
    </xf>
    <xf numFmtId="0" fontId="4" fillId="33" borderId="0" xfId="0" applyFont="1" applyFill="1" applyBorder="1" applyAlignment="1">
      <alignment/>
    </xf>
    <xf numFmtId="0" fontId="4" fillId="33" borderId="0" xfId="0" applyFont="1" applyFill="1" applyBorder="1" applyAlignment="1">
      <alignment horizontal="center"/>
    </xf>
    <xf numFmtId="9" fontId="4" fillId="33" borderId="0" xfId="0" applyNumberFormat="1" applyFont="1" applyFill="1" applyBorder="1" applyAlignment="1">
      <alignment horizontal="center"/>
    </xf>
    <xf numFmtId="0" fontId="0" fillId="0" borderId="0" xfId="0" applyBorder="1" applyAlignment="1">
      <alignment horizontal="center"/>
    </xf>
    <xf numFmtId="0" fontId="0" fillId="33" borderId="41" xfId="0" applyFill="1" applyBorder="1" applyAlignment="1">
      <alignment horizontal="center"/>
    </xf>
    <xf numFmtId="0" fontId="0" fillId="33" borderId="33" xfId="0" applyFill="1" applyBorder="1" applyAlignment="1">
      <alignment horizontal="center"/>
    </xf>
    <xf numFmtId="0" fontId="2" fillId="33" borderId="42" xfId="0" applyFont="1" applyFill="1" applyBorder="1" applyAlignment="1">
      <alignment horizontal="center" textRotation="110"/>
    </xf>
    <xf numFmtId="0" fontId="2" fillId="33" borderId="43" xfId="0" applyFont="1" applyFill="1" applyBorder="1" applyAlignment="1">
      <alignment horizontal="center" textRotation="110"/>
    </xf>
    <xf numFmtId="9" fontId="0" fillId="33" borderId="44" xfId="0" applyNumberFormat="1" applyFill="1" applyBorder="1" applyAlignment="1">
      <alignment horizontal="center"/>
    </xf>
    <xf numFmtId="9" fontId="0" fillId="33" borderId="45" xfId="0" applyNumberFormat="1" applyFill="1" applyBorder="1" applyAlignment="1">
      <alignment horizontal="center"/>
    </xf>
    <xf numFmtId="0" fontId="2" fillId="33" borderId="37" xfId="0" applyFont="1" applyFill="1" applyBorder="1" applyAlignment="1">
      <alignment horizontal="center" textRotation="110"/>
    </xf>
    <xf numFmtId="9" fontId="0" fillId="33" borderId="12" xfId="0" applyNumberFormat="1" applyFill="1" applyBorder="1" applyAlignment="1">
      <alignment horizontal="center"/>
    </xf>
    <xf numFmtId="0" fontId="0" fillId="0" borderId="46" xfId="0" applyBorder="1" applyAlignment="1">
      <alignment/>
    </xf>
    <xf numFmtId="0" fontId="17" fillId="0" borderId="10" xfId="0" applyFont="1" applyBorder="1" applyAlignment="1">
      <alignment horizontal="center" vertical="top" wrapText="1" readingOrder="2"/>
    </xf>
    <xf numFmtId="9" fontId="18" fillId="0" borderId="10" xfId="0" applyNumberFormat="1" applyFont="1" applyBorder="1" applyAlignment="1">
      <alignment horizontal="center" vertical="top" wrapText="1" readingOrder="2"/>
    </xf>
    <xf numFmtId="1" fontId="0" fillId="0" borderId="10" xfId="0" applyNumberFormat="1" applyBorder="1" applyAlignment="1">
      <alignment/>
    </xf>
    <xf numFmtId="172" fontId="2" fillId="0" borderId="10" xfId="0" applyNumberFormat="1" applyFont="1" applyBorder="1" applyAlignment="1">
      <alignment horizontal="center"/>
    </xf>
    <xf numFmtId="172" fontId="0" fillId="0" borderId="47" xfId="0" applyNumberFormat="1" applyBorder="1" applyAlignment="1">
      <alignment/>
    </xf>
    <xf numFmtId="172" fontId="0" fillId="0" borderId="48" xfId="0" applyNumberFormat="1" applyBorder="1" applyAlignment="1">
      <alignment/>
    </xf>
    <xf numFmtId="172" fontId="0" fillId="0" borderId="49" xfId="0" applyNumberFormat="1" applyBorder="1" applyAlignment="1">
      <alignment/>
    </xf>
    <xf numFmtId="172" fontId="0" fillId="0" borderId="35" xfId="0" applyNumberFormat="1" applyBorder="1" applyAlignment="1">
      <alignment/>
    </xf>
    <xf numFmtId="10" fontId="0" fillId="0" borderId="35" xfId="0" applyNumberFormat="1" applyBorder="1" applyAlignment="1">
      <alignment horizontal="center"/>
    </xf>
    <xf numFmtId="172" fontId="0" fillId="0" borderId="47" xfId="0" applyNumberFormat="1" applyBorder="1" applyAlignment="1">
      <alignment horizontal="center"/>
    </xf>
    <xf numFmtId="0" fontId="19" fillId="33" borderId="50" xfId="0" applyFont="1" applyFill="1" applyBorder="1" applyAlignment="1">
      <alignment horizontal="center" vertical="top" wrapText="1"/>
    </xf>
    <xf numFmtId="0" fontId="19" fillId="33" borderId="10" xfId="0" applyFont="1" applyFill="1" applyBorder="1" applyAlignment="1">
      <alignment horizontal="center" vertical="top" wrapText="1"/>
    </xf>
    <xf numFmtId="0" fontId="19" fillId="33" borderId="51" xfId="0" applyFont="1" applyFill="1" applyBorder="1" applyAlignment="1">
      <alignment horizontal="center" vertical="top" wrapText="1"/>
    </xf>
    <xf numFmtId="172" fontId="0" fillId="0" borderId="50" xfId="0" applyNumberFormat="1" applyBorder="1" applyAlignment="1">
      <alignment/>
    </xf>
    <xf numFmtId="10" fontId="0" fillId="0" borderId="10" xfId="0" applyNumberFormat="1" applyBorder="1" applyAlignment="1">
      <alignment horizontal="center"/>
    </xf>
    <xf numFmtId="172" fontId="0" fillId="0" borderId="51" xfId="0" applyNumberFormat="1" applyBorder="1" applyAlignment="1">
      <alignment horizontal="center"/>
    </xf>
    <xf numFmtId="0" fontId="19" fillId="33" borderId="50" xfId="0" applyFont="1" applyFill="1" applyBorder="1" applyAlignment="1">
      <alignment vertical="top" wrapText="1" readingOrder="2"/>
    </xf>
    <xf numFmtId="10" fontId="19" fillId="33" borderId="10" xfId="0" applyNumberFormat="1" applyFont="1" applyFill="1" applyBorder="1" applyAlignment="1">
      <alignment horizontal="center" vertical="top" wrapText="1"/>
    </xf>
    <xf numFmtId="10" fontId="19" fillId="33" borderId="51" xfId="0" applyNumberFormat="1" applyFont="1" applyFill="1" applyBorder="1" applyAlignment="1">
      <alignment horizontal="center" vertical="top" wrapText="1"/>
    </xf>
    <xf numFmtId="0" fontId="0" fillId="0" borderId="37" xfId="0" applyBorder="1" applyAlignment="1">
      <alignment/>
    </xf>
    <xf numFmtId="0" fontId="0" fillId="0" borderId="38" xfId="0" applyBorder="1" applyAlignment="1">
      <alignment/>
    </xf>
    <xf numFmtId="0" fontId="0" fillId="0" borderId="29" xfId="0" applyBorder="1" applyAlignment="1">
      <alignment/>
    </xf>
    <xf numFmtId="10" fontId="0" fillId="0" borderId="38" xfId="0" applyNumberFormat="1" applyBorder="1" applyAlignment="1">
      <alignment horizontal="center"/>
    </xf>
    <xf numFmtId="172" fontId="2" fillId="0" borderId="52" xfId="0" applyNumberFormat="1" applyFont="1" applyBorder="1" applyAlignment="1">
      <alignment horizontal="center"/>
    </xf>
    <xf numFmtId="0" fontId="19" fillId="33" borderId="36" xfId="0" applyFont="1" applyFill="1" applyBorder="1" applyAlignment="1">
      <alignment vertical="top" wrapText="1" readingOrder="2"/>
    </xf>
    <xf numFmtId="0" fontId="19" fillId="33" borderId="29" xfId="0" applyFont="1" applyFill="1" applyBorder="1" applyAlignment="1">
      <alignment horizontal="center" vertical="top" wrapText="1"/>
    </xf>
    <xf numFmtId="10" fontId="19" fillId="33" borderId="48" xfId="0" applyNumberFormat="1" applyFont="1" applyFill="1" applyBorder="1" applyAlignment="1">
      <alignment horizontal="center" vertical="top" wrapText="1"/>
    </xf>
    <xf numFmtId="172" fontId="0" fillId="0" borderId="53" xfId="0" applyNumberFormat="1" applyBorder="1" applyAlignment="1">
      <alignment/>
    </xf>
    <xf numFmtId="9" fontId="19" fillId="33" borderId="51" xfId="0" applyNumberFormat="1" applyFont="1" applyFill="1" applyBorder="1" applyAlignment="1">
      <alignment horizontal="center" vertical="top" wrapText="1"/>
    </xf>
    <xf numFmtId="0" fontId="0" fillId="0" borderId="36" xfId="0" applyBorder="1" applyAlignment="1">
      <alignment/>
    </xf>
    <xf numFmtId="172" fontId="0" fillId="0" borderId="29" xfId="0" applyNumberFormat="1" applyBorder="1" applyAlignment="1">
      <alignment/>
    </xf>
    <xf numFmtId="172" fontId="2" fillId="0" borderId="48" xfId="0" applyNumberFormat="1" applyFont="1" applyBorder="1" applyAlignment="1">
      <alignment horizontal="center"/>
    </xf>
    <xf numFmtId="172" fontId="10" fillId="0" borderId="0" xfId="0" applyNumberFormat="1" applyFont="1" applyAlignment="1">
      <alignment horizontal="center"/>
    </xf>
    <xf numFmtId="10" fontId="2" fillId="0" borderId="0" xfId="0" applyNumberFormat="1" applyFont="1" applyBorder="1" applyAlignment="1">
      <alignment/>
    </xf>
    <xf numFmtId="172" fontId="0" fillId="0" borderId="46" xfId="0" applyNumberFormat="1" applyBorder="1" applyAlignment="1">
      <alignment/>
    </xf>
    <xf numFmtId="172" fontId="0" fillId="0" borderId="10" xfId="0" applyNumberFormat="1" applyBorder="1" applyAlignment="1">
      <alignment horizontal="center"/>
    </xf>
    <xf numFmtId="3" fontId="0" fillId="0" borderId="0" xfId="0" applyNumberFormat="1" applyAlignment="1">
      <alignment/>
    </xf>
    <xf numFmtId="3" fontId="0" fillId="0" borderId="10" xfId="0" applyNumberFormat="1" applyBorder="1" applyAlignment="1">
      <alignment horizontal="center"/>
    </xf>
    <xf numFmtId="0" fontId="5" fillId="0" borderId="0" xfId="0" applyFont="1" applyFill="1" applyAlignment="1">
      <alignment/>
    </xf>
    <xf numFmtId="0" fontId="11" fillId="0" borderId="0" xfId="0" applyFont="1" applyAlignment="1">
      <alignment/>
    </xf>
    <xf numFmtId="0" fontId="8" fillId="0" borderId="0" xfId="0" applyFont="1" applyFill="1" applyAlignment="1">
      <alignment/>
    </xf>
    <xf numFmtId="14" fontId="4" fillId="33" borderId="0" xfId="0" applyNumberFormat="1" applyFont="1" applyFill="1" applyAlignment="1">
      <alignment horizontal="center"/>
    </xf>
    <xf numFmtId="0" fontId="6" fillId="33" borderId="0" xfId="0" applyFont="1" applyFill="1" applyAlignment="1">
      <alignment/>
    </xf>
    <xf numFmtId="0" fontId="13" fillId="33" borderId="0" xfId="0" applyFont="1" applyFill="1" applyAlignment="1">
      <alignment horizontal="center"/>
    </xf>
    <xf numFmtId="172" fontId="0" fillId="33" borderId="39" xfId="0" applyNumberFormat="1" applyFill="1" applyBorder="1" applyAlignment="1">
      <alignment horizontal="center"/>
    </xf>
    <xf numFmtId="0" fontId="13" fillId="33" borderId="0" xfId="0" applyFont="1" applyFill="1" applyAlignment="1">
      <alignment/>
    </xf>
    <xf numFmtId="9" fontId="4" fillId="33" borderId="17" xfId="0" applyNumberFormat="1" applyFont="1" applyFill="1" applyBorder="1" applyAlignment="1">
      <alignment horizontal="center"/>
    </xf>
    <xf numFmtId="172" fontId="20" fillId="33" borderId="17" xfId="0" applyNumberFormat="1" applyFont="1" applyFill="1" applyBorder="1" applyAlignment="1">
      <alignment horizontal="center"/>
    </xf>
    <xf numFmtId="0" fontId="2" fillId="33" borderId="54" xfId="0" applyFont="1" applyFill="1" applyBorder="1" applyAlignment="1">
      <alignment horizontal="center"/>
    </xf>
    <xf numFmtId="0" fontId="2" fillId="33" borderId="25" xfId="0" applyFont="1" applyFill="1" applyBorder="1" applyAlignment="1">
      <alignment horizontal="center"/>
    </xf>
    <xf numFmtId="172" fontId="2" fillId="33" borderId="25" xfId="0" applyNumberFormat="1" applyFont="1" applyFill="1" applyBorder="1" applyAlignment="1">
      <alignment horizontal="center"/>
    </xf>
    <xf numFmtId="9" fontId="2" fillId="33" borderId="25" xfId="0" applyNumberFormat="1" applyFont="1" applyFill="1" applyBorder="1" applyAlignment="1">
      <alignment horizontal="center"/>
    </xf>
    <xf numFmtId="173" fontId="0" fillId="33" borderId="10" xfId="0" applyNumberFormat="1" applyFill="1" applyBorder="1" applyAlignment="1">
      <alignment horizontal="center"/>
    </xf>
    <xf numFmtId="0" fontId="0" fillId="0" borderId="0" xfId="0" applyBorder="1" applyAlignment="1">
      <alignment/>
    </xf>
    <xf numFmtId="173" fontId="0" fillId="33" borderId="29" xfId="0" applyNumberFormat="1" applyFill="1" applyBorder="1" applyAlignment="1">
      <alignment horizontal="center"/>
    </xf>
    <xf numFmtId="9" fontId="2" fillId="0" borderId="0" xfId="0" applyNumberFormat="1" applyFont="1" applyFill="1" applyBorder="1" applyAlignment="1">
      <alignment/>
    </xf>
    <xf numFmtId="9" fontId="2" fillId="33" borderId="50" xfId="0" applyNumberFormat="1" applyFont="1" applyFill="1" applyBorder="1" applyAlignment="1">
      <alignment horizontal="center"/>
    </xf>
    <xf numFmtId="9" fontId="2" fillId="33" borderId="51" xfId="0" applyNumberFormat="1" applyFont="1" applyFill="1" applyBorder="1" applyAlignment="1">
      <alignment horizontal="center"/>
    </xf>
    <xf numFmtId="0" fontId="7" fillId="33" borderId="10" xfId="0" applyFont="1" applyFill="1" applyBorder="1" applyAlignment="1">
      <alignment vertical="top" wrapText="1"/>
    </xf>
    <xf numFmtId="0" fontId="19" fillId="33" borderId="10" xfId="0" applyFont="1" applyFill="1" applyBorder="1" applyAlignment="1">
      <alignment vertical="top" wrapText="1" readingOrder="2"/>
    </xf>
    <xf numFmtId="0" fontId="21" fillId="33" borderId="0" xfId="0" applyFont="1" applyFill="1" applyBorder="1" applyAlignment="1">
      <alignment/>
    </xf>
    <xf numFmtId="0" fontId="9" fillId="33" borderId="11" xfId="0" applyFont="1" applyFill="1" applyBorder="1" applyAlignment="1">
      <alignment/>
    </xf>
    <xf numFmtId="0" fontId="21" fillId="0" borderId="0" xfId="0" applyFont="1" applyBorder="1" applyAlignment="1">
      <alignment/>
    </xf>
    <xf numFmtId="0" fontId="9" fillId="33" borderId="0" xfId="0" applyFont="1" applyFill="1" applyBorder="1" applyAlignment="1">
      <alignment/>
    </xf>
    <xf numFmtId="172" fontId="9" fillId="33" borderId="0" xfId="0" applyNumberFormat="1" applyFont="1" applyFill="1" applyBorder="1" applyAlignment="1">
      <alignment/>
    </xf>
    <xf numFmtId="0" fontId="9" fillId="33" borderId="0" xfId="0" applyFont="1" applyFill="1" applyBorder="1" applyAlignment="1">
      <alignment horizontal="center"/>
    </xf>
    <xf numFmtId="0" fontId="9" fillId="33" borderId="17" xfId="0" applyFont="1" applyFill="1" applyBorder="1" applyAlignment="1">
      <alignment horizontal="center"/>
    </xf>
    <xf numFmtId="173" fontId="9" fillId="33" borderId="17" xfId="0" applyNumberFormat="1" applyFont="1" applyFill="1" applyBorder="1" applyAlignment="1">
      <alignment horizontal="center"/>
    </xf>
    <xf numFmtId="172" fontId="2" fillId="0" borderId="35" xfId="0" applyNumberFormat="1" applyFont="1" applyBorder="1" applyAlignment="1">
      <alignment horizontal="center"/>
    </xf>
    <xf numFmtId="0" fontId="0" fillId="0" borderId="0" xfId="0" applyFill="1" applyBorder="1" applyAlignment="1">
      <alignment horizontal="center"/>
    </xf>
    <xf numFmtId="0" fontId="0" fillId="0" borderId="0" xfId="0" applyFill="1" applyAlignment="1">
      <alignment horizontal="center"/>
    </xf>
    <xf numFmtId="175" fontId="0" fillId="0" borderId="0" xfId="0" applyNumberFormat="1" applyBorder="1" applyAlignment="1">
      <alignment/>
    </xf>
    <xf numFmtId="0" fontId="10" fillId="33" borderId="0" xfId="0" applyFont="1" applyFill="1" applyBorder="1" applyAlignment="1">
      <alignment horizontal="center"/>
    </xf>
    <xf numFmtId="172" fontId="10" fillId="33" borderId="0" xfId="0" applyNumberFormat="1" applyFont="1" applyFill="1" applyBorder="1" applyAlignment="1">
      <alignment horizontal="center"/>
    </xf>
    <xf numFmtId="173" fontId="0" fillId="33" borderId="0" xfId="0" applyNumberFormat="1" applyFill="1" applyBorder="1" applyAlignment="1">
      <alignment horizontal="center"/>
    </xf>
    <xf numFmtId="172" fontId="0" fillId="33" borderId="0" xfId="0" applyNumberFormat="1" applyFill="1" applyAlignment="1">
      <alignment horizontal="center"/>
    </xf>
    <xf numFmtId="0" fontId="0" fillId="33" borderId="0" xfId="0" applyFont="1" applyFill="1" applyAlignment="1">
      <alignment horizontal="left"/>
    </xf>
    <xf numFmtId="9" fontId="2" fillId="33" borderId="17" xfId="0" applyNumberFormat="1" applyFont="1" applyFill="1" applyBorder="1" applyAlignment="1">
      <alignment horizontal="center"/>
    </xf>
    <xf numFmtId="0" fontId="10" fillId="0" borderId="0" xfId="0" applyFont="1" applyBorder="1" applyAlignment="1">
      <alignment horizontal="center"/>
    </xf>
    <xf numFmtId="172" fontId="22" fillId="33" borderId="19" xfId="0" applyNumberFormat="1" applyFont="1" applyFill="1" applyBorder="1" applyAlignment="1">
      <alignment horizontal="center"/>
    </xf>
    <xf numFmtId="172" fontId="22" fillId="33" borderId="48" xfId="0" applyNumberFormat="1" applyFont="1" applyFill="1" applyBorder="1" applyAlignment="1">
      <alignment horizontal="center"/>
    </xf>
    <xf numFmtId="172" fontId="22" fillId="33" borderId="55" xfId="0" applyNumberFormat="1" applyFont="1" applyFill="1" applyBorder="1" applyAlignment="1">
      <alignment horizontal="center"/>
    </xf>
    <xf numFmtId="172" fontId="22" fillId="33" borderId="51" xfId="0" applyNumberFormat="1" applyFont="1" applyFill="1" applyBorder="1" applyAlignment="1">
      <alignment horizontal="center"/>
    </xf>
    <xf numFmtId="172" fontId="23" fillId="33" borderId="17" xfId="0" applyNumberFormat="1" applyFont="1" applyFill="1" applyBorder="1" applyAlignment="1">
      <alignment horizontal="center"/>
    </xf>
    <xf numFmtId="172" fontId="22" fillId="33" borderId="19" xfId="0" applyNumberFormat="1" applyFont="1" applyFill="1" applyBorder="1" applyAlignment="1">
      <alignment horizontal="center"/>
    </xf>
    <xf numFmtId="172" fontId="22" fillId="33" borderId="48" xfId="0" applyNumberFormat="1" applyFont="1" applyFill="1" applyBorder="1" applyAlignment="1">
      <alignment horizontal="center"/>
    </xf>
    <xf numFmtId="172" fontId="22" fillId="33" borderId="55" xfId="0" applyNumberFormat="1" applyFont="1" applyFill="1" applyBorder="1" applyAlignment="1">
      <alignment horizontal="center"/>
    </xf>
    <xf numFmtId="172" fontId="22" fillId="33" borderId="0" xfId="0" applyNumberFormat="1" applyFont="1" applyFill="1" applyBorder="1" applyAlignment="1">
      <alignment horizontal="center"/>
    </xf>
    <xf numFmtId="172" fontId="23" fillId="33" borderId="17" xfId="0" applyNumberFormat="1" applyFont="1" applyFill="1" applyBorder="1" applyAlignment="1">
      <alignment horizontal="center"/>
    </xf>
    <xf numFmtId="0" fontId="2" fillId="33" borderId="20" xfId="0" applyFont="1" applyFill="1" applyBorder="1" applyAlignment="1">
      <alignment/>
    </xf>
    <xf numFmtId="0" fontId="2" fillId="33" borderId="42" xfId="0" applyFont="1" applyFill="1" applyBorder="1" applyAlignment="1">
      <alignment/>
    </xf>
    <xf numFmtId="0" fontId="2" fillId="33" borderId="43" xfId="0" applyFont="1" applyFill="1" applyBorder="1" applyAlignment="1">
      <alignment/>
    </xf>
    <xf numFmtId="172" fontId="2" fillId="33" borderId="0" xfId="0" applyNumberFormat="1" applyFont="1" applyFill="1" applyBorder="1" applyAlignment="1" applyProtection="1">
      <alignment horizontal="center"/>
      <protection locked="0"/>
    </xf>
    <xf numFmtId="172" fontId="23" fillId="33" borderId="0" xfId="0" applyNumberFormat="1" applyFont="1" applyFill="1" applyBorder="1" applyAlignment="1">
      <alignment horizontal="center"/>
    </xf>
    <xf numFmtId="0" fontId="16" fillId="0" borderId="0" xfId="0" applyFont="1" applyFill="1" applyBorder="1" applyAlignment="1">
      <alignment horizontal="right"/>
    </xf>
    <xf numFmtId="0" fontId="1" fillId="0" borderId="0" xfId="0" applyFont="1" applyFill="1" applyAlignment="1">
      <alignment horizontal="center"/>
    </xf>
    <xf numFmtId="9" fontId="0" fillId="0" borderId="0" xfId="0" applyNumberFormat="1" applyFill="1" applyBorder="1" applyAlignment="1">
      <alignment horizontal="center"/>
    </xf>
    <xf numFmtId="9" fontId="18" fillId="0" borderId="0" xfId="0" applyNumberFormat="1" applyFont="1" applyBorder="1" applyAlignment="1">
      <alignment horizontal="center" vertical="top" wrapText="1" readingOrder="2"/>
    </xf>
    <xf numFmtId="0" fontId="19" fillId="33" borderId="0" xfId="0" applyFont="1" applyFill="1" applyBorder="1" applyAlignment="1">
      <alignment/>
    </xf>
    <xf numFmtId="0" fontId="7" fillId="33" borderId="0" xfId="0" applyFont="1" applyFill="1" applyBorder="1" applyAlignment="1">
      <alignment horizontal="center"/>
    </xf>
    <xf numFmtId="172" fontId="0" fillId="0" borderId="0" xfId="0" applyNumberFormat="1" applyBorder="1" applyAlignment="1">
      <alignment horizontal="center"/>
    </xf>
    <xf numFmtId="172" fontId="2" fillId="0" borderId="0" xfId="0" applyNumberFormat="1" applyFont="1" applyBorder="1" applyAlignment="1">
      <alignment horizontal="center"/>
    </xf>
    <xf numFmtId="172" fontId="0" fillId="0" borderId="16" xfId="0" applyNumberFormat="1" applyFill="1" applyBorder="1" applyAlignment="1">
      <alignment horizontal="center"/>
    </xf>
    <xf numFmtId="0" fontId="4" fillId="34" borderId="17" xfId="0" applyFont="1" applyFill="1" applyBorder="1" applyAlignment="1" applyProtection="1">
      <alignment horizontal="center"/>
      <protection locked="0"/>
    </xf>
    <xf numFmtId="172" fontId="4" fillId="34" borderId="17" xfId="0" applyNumberFormat="1" applyFont="1" applyFill="1" applyBorder="1" applyAlignment="1" applyProtection="1">
      <alignment horizontal="center"/>
      <protection locked="0"/>
    </xf>
    <xf numFmtId="172" fontId="12" fillId="33" borderId="10" xfId="0" applyNumberFormat="1" applyFont="1" applyFill="1" applyBorder="1" applyAlignment="1">
      <alignment horizontal="center"/>
    </xf>
    <xf numFmtId="172" fontId="12" fillId="33" borderId="29" xfId="0" applyNumberFormat="1" applyFont="1" applyFill="1" applyBorder="1" applyAlignment="1">
      <alignment horizontal="center"/>
    </xf>
    <xf numFmtId="172" fontId="26" fillId="33" borderId="34" xfId="0" applyNumberFormat="1" applyFont="1" applyFill="1" applyBorder="1" applyAlignment="1">
      <alignment horizontal="center"/>
    </xf>
    <xf numFmtId="172" fontId="10" fillId="33" borderId="51" xfId="0" applyNumberFormat="1" applyFont="1" applyFill="1" applyBorder="1" applyAlignment="1">
      <alignment horizontal="center"/>
    </xf>
    <xf numFmtId="172" fontId="10" fillId="33" borderId="48" xfId="0" applyNumberFormat="1" applyFont="1" applyFill="1" applyBorder="1" applyAlignment="1">
      <alignment horizontal="center"/>
    </xf>
    <xf numFmtId="172" fontId="27" fillId="33" borderId="33" xfId="0" applyNumberFormat="1" applyFont="1" applyFill="1" applyBorder="1" applyAlignment="1">
      <alignment horizontal="center"/>
    </xf>
    <xf numFmtId="0" fontId="13" fillId="33" borderId="0" xfId="0" applyFont="1" applyFill="1" applyBorder="1" applyAlignment="1">
      <alignment horizontal="center"/>
    </xf>
    <xf numFmtId="0" fontId="0" fillId="0" borderId="35" xfId="0" applyBorder="1" applyAlignment="1">
      <alignment/>
    </xf>
    <xf numFmtId="0" fontId="2" fillId="0" borderId="40" xfId="0" applyFont="1" applyBorder="1" applyAlignment="1">
      <alignment/>
    </xf>
    <xf numFmtId="0" fontId="2" fillId="0" borderId="55" xfId="0" applyFont="1" applyBorder="1" applyAlignment="1">
      <alignment/>
    </xf>
    <xf numFmtId="9" fontId="0" fillId="0" borderId="10" xfId="0" applyNumberFormat="1" applyBorder="1" applyAlignment="1">
      <alignment horizontal="center"/>
    </xf>
    <xf numFmtId="9" fontId="0" fillId="0" borderId="10" xfId="0" applyNumberFormat="1" applyFill="1" applyBorder="1" applyAlignment="1">
      <alignment horizontal="center"/>
    </xf>
    <xf numFmtId="9" fontId="0" fillId="0" borderId="29" xfId="0" applyNumberFormat="1" applyBorder="1" applyAlignment="1">
      <alignment horizontal="center"/>
    </xf>
    <xf numFmtId="0" fontId="0" fillId="0" borderId="56" xfId="0" applyBorder="1" applyAlignment="1">
      <alignment/>
    </xf>
    <xf numFmtId="0" fontId="30" fillId="0" borderId="10" xfId="0" applyFont="1" applyBorder="1" applyAlignment="1">
      <alignment/>
    </xf>
    <xf numFmtId="172" fontId="0" fillId="0" borderId="16" xfId="0" applyNumberFormat="1" applyFill="1" applyBorder="1" applyAlignment="1">
      <alignment horizontal="left"/>
    </xf>
    <xf numFmtId="172" fontId="0" fillId="33" borderId="16" xfId="0" applyNumberFormat="1" applyFill="1" applyBorder="1" applyAlignment="1">
      <alignment horizontal="left"/>
    </xf>
    <xf numFmtId="172" fontId="0" fillId="33" borderId="39" xfId="0" applyNumberFormat="1" applyFill="1" applyBorder="1" applyAlignment="1">
      <alignment horizontal="left"/>
    </xf>
    <xf numFmtId="0" fontId="3" fillId="33" borderId="0" xfId="0" applyFont="1" applyFill="1" applyBorder="1" applyAlignment="1">
      <alignment horizontal="center"/>
    </xf>
    <xf numFmtId="172" fontId="20" fillId="33" borderId="0" xfId="0" applyNumberFormat="1" applyFont="1" applyFill="1" applyBorder="1" applyAlignment="1">
      <alignment horizontal="center"/>
    </xf>
    <xf numFmtId="0" fontId="2" fillId="0" borderId="50" xfId="0" applyFont="1" applyBorder="1" applyAlignment="1">
      <alignment horizontal="center"/>
    </xf>
    <xf numFmtId="0" fontId="0" fillId="0" borderId="29" xfId="0" applyFill="1" applyBorder="1" applyAlignment="1">
      <alignment horizontal="center"/>
    </xf>
    <xf numFmtId="0" fontId="2" fillId="0" borderId="50" xfId="0" applyFont="1" applyFill="1" applyBorder="1" applyAlignment="1">
      <alignment horizontal="center"/>
    </xf>
    <xf numFmtId="0" fontId="28" fillId="33" borderId="50" xfId="0" applyFont="1" applyFill="1" applyBorder="1" applyAlignment="1">
      <alignment horizontal="center"/>
    </xf>
    <xf numFmtId="0" fontId="28" fillId="33" borderId="36" xfId="0" applyFont="1" applyFill="1" applyBorder="1" applyAlignment="1">
      <alignment horizontal="center"/>
    </xf>
    <xf numFmtId="0" fontId="28" fillId="0" borderId="36" xfId="0" applyFont="1" applyBorder="1" applyAlignment="1">
      <alignment horizontal="center"/>
    </xf>
    <xf numFmtId="9" fontId="0" fillId="0" borderId="29" xfId="0" applyNumberFormat="1" applyFill="1" applyBorder="1" applyAlignment="1">
      <alignment horizontal="center"/>
    </xf>
    <xf numFmtId="0" fontId="2" fillId="33" borderId="49" xfId="0" applyFont="1" applyFill="1" applyBorder="1" applyAlignment="1">
      <alignment horizontal="center"/>
    </xf>
    <xf numFmtId="0" fontId="2" fillId="33" borderId="35" xfId="0" applyFont="1" applyFill="1" applyBorder="1" applyAlignment="1">
      <alignment horizontal="center"/>
    </xf>
    <xf numFmtId="172" fontId="2" fillId="33" borderId="35" xfId="0" applyNumberFormat="1" applyFont="1" applyFill="1" applyBorder="1" applyAlignment="1">
      <alignment horizontal="center"/>
    </xf>
    <xf numFmtId="9" fontId="2" fillId="33" borderId="35" xfId="0" applyNumberFormat="1" applyFont="1" applyFill="1" applyBorder="1" applyAlignment="1">
      <alignment horizontal="center"/>
    </xf>
    <xf numFmtId="9" fontId="2" fillId="33" borderId="47" xfId="0" applyNumberFormat="1" applyFont="1" applyFill="1" applyBorder="1" applyAlignment="1">
      <alignment horizontal="center"/>
    </xf>
    <xf numFmtId="172" fontId="10" fillId="0" borderId="48" xfId="0" applyNumberFormat="1" applyFont="1" applyBorder="1" applyAlignment="1">
      <alignment horizontal="center"/>
    </xf>
    <xf numFmtId="0" fontId="2" fillId="0" borderId="54" xfId="0" applyFont="1" applyBorder="1" applyAlignment="1">
      <alignment horizontal="center"/>
    </xf>
    <xf numFmtId="0" fontId="2" fillId="0" borderId="25" xfId="0" applyFont="1" applyBorder="1" applyAlignment="1">
      <alignment horizontal="center"/>
    </xf>
    <xf numFmtId="0" fontId="2" fillId="0" borderId="19" xfId="0" applyFont="1" applyBorder="1" applyAlignment="1">
      <alignment horizontal="center"/>
    </xf>
    <xf numFmtId="175" fontId="0" fillId="0" borderId="0" xfId="0" applyNumberFormat="1" applyAlignment="1">
      <alignment/>
    </xf>
    <xf numFmtId="0" fontId="9" fillId="33" borderId="0" xfId="0" applyFont="1" applyFill="1" applyAlignment="1">
      <alignment/>
    </xf>
    <xf numFmtId="172" fontId="2" fillId="34" borderId="17" xfId="0" applyNumberFormat="1" applyFont="1" applyFill="1" applyBorder="1" applyAlignment="1" applyProtection="1">
      <alignment horizontal="center"/>
      <protection locked="0"/>
    </xf>
    <xf numFmtId="0" fontId="2" fillId="34" borderId="17" xfId="0" applyFont="1" applyFill="1" applyBorder="1" applyAlignment="1" applyProtection="1">
      <alignment horizontal="center"/>
      <protection locked="0"/>
    </xf>
    <xf numFmtId="0" fontId="0" fillId="33" borderId="0" xfId="0" applyFill="1" applyAlignment="1">
      <alignment/>
    </xf>
    <xf numFmtId="0" fontId="20" fillId="33" borderId="0" xfId="0" applyFont="1" applyFill="1" applyBorder="1" applyAlignment="1">
      <alignment/>
    </xf>
    <xf numFmtId="172" fontId="12" fillId="0" borderId="10" xfId="0" applyNumberFormat="1" applyFont="1" applyFill="1" applyBorder="1" applyAlignment="1">
      <alignment horizontal="center"/>
    </xf>
    <xf numFmtId="172" fontId="12" fillId="0" borderId="10" xfId="0" applyNumberFormat="1" applyFont="1" applyBorder="1" applyAlignment="1">
      <alignment horizontal="center"/>
    </xf>
    <xf numFmtId="172" fontId="12" fillId="0" borderId="29" xfId="0" applyNumberFormat="1" applyFont="1" applyBorder="1" applyAlignment="1">
      <alignment horizontal="center"/>
    </xf>
    <xf numFmtId="172" fontId="10" fillId="0" borderId="51" xfId="0" applyNumberFormat="1" applyFont="1" applyBorder="1" applyAlignment="1">
      <alignment horizontal="center"/>
    </xf>
    <xf numFmtId="0" fontId="0" fillId="0" borderId="54" xfId="0" applyBorder="1" applyAlignment="1">
      <alignment/>
    </xf>
    <xf numFmtId="0" fontId="0" fillId="0" borderId="24" xfId="0" applyBorder="1" applyAlignment="1">
      <alignment/>
    </xf>
    <xf numFmtId="0" fontId="17" fillId="0" borderId="19" xfId="0" applyFont="1" applyBorder="1" applyAlignment="1">
      <alignment horizontal="center" vertical="top" wrapText="1" readingOrder="2"/>
    </xf>
    <xf numFmtId="0" fontId="0" fillId="0" borderId="50" xfId="0" applyBorder="1" applyAlignment="1">
      <alignment/>
    </xf>
    <xf numFmtId="9" fontId="18" fillId="0" borderId="51" xfId="0" applyNumberFormat="1" applyFont="1" applyBorder="1" applyAlignment="1">
      <alignment horizontal="center" vertical="top" wrapText="1" readingOrder="2"/>
    </xf>
    <xf numFmtId="0" fontId="2" fillId="33" borderId="35" xfId="0" applyFont="1" applyFill="1" applyBorder="1" applyAlignment="1">
      <alignment horizontal="center"/>
    </xf>
    <xf numFmtId="172" fontId="2" fillId="33" borderId="35" xfId="0" applyNumberFormat="1" applyFont="1" applyFill="1" applyBorder="1" applyAlignment="1">
      <alignment horizontal="center"/>
    </xf>
    <xf numFmtId="3" fontId="0" fillId="0" borderId="46" xfId="0" applyNumberFormat="1" applyBorder="1" applyAlignment="1">
      <alignment/>
    </xf>
    <xf numFmtId="0" fontId="0" fillId="0" borderId="57" xfId="0" applyBorder="1" applyAlignment="1">
      <alignment/>
    </xf>
    <xf numFmtId="0" fontId="0" fillId="0" borderId="58" xfId="0" applyBorder="1" applyAlignment="1">
      <alignment/>
    </xf>
    <xf numFmtId="9" fontId="18" fillId="0" borderId="59" xfId="0" applyNumberFormat="1" applyFont="1" applyBorder="1" applyAlignment="1">
      <alignment horizontal="center" vertical="top" wrapText="1" readingOrder="2"/>
    </xf>
    <xf numFmtId="3" fontId="0" fillId="0" borderId="29" xfId="0" applyNumberFormat="1" applyFill="1" applyBorder="1" applyAlignment="1">
      <alignment/>
    </xf>
    <xf numFmtId="1" fontId="0" fillId="0" borderId="54" xfId="0" applyNumberFormat="1" applyBorder="1" applyAlignment="1">
      <alignment/>
    </xf>
    <xf numFmtId="1" fontId="0" fillId="0" borderId="25" xfId="0" applyNumberFormat="1" applyBorder="1" applyAlignment="1">
      <alignment/>
    </xf>
    <xf numFmtId="9" fontId="18" fillId="0" borderId="19" xfId="0" applyNumberFormat="1" applyFont="1" applyBorder="1" applyAlignment="1">
      <alignment horizontal="center" vertical="top" wrapText="1" readingOrder="2"/>
    </xf>
    <xf numFmtId="1" fontId="0" fillId="0" borderId="50" xfId="0" applyNumberFormat="1" applyBorder="1" applyAlignment="1">
      <alignment/>
    </xf>
    <xf numFmtId="9" fontId="18" fillId="0" borderId="48" xfId="0" applyNumberFormat="1" applyFont="1" applyBorder="1" applyAlignment="1">
      <alignment horizontal="center"/>
    </xf>
    <xf numFmtId="0" fontId="0" fillId="0" borderId="46" xfId="0" applyBorder="1" applyAlignment="1">
      <alignment horizontal="center"/>
    </xf>
    <xf numFmtId="0" fontId="0" fillId="0" borderId="56" xfId="0" applyBorder="1" applyAlignment="1">
      <alignment horizontal="center"/>
    </xf>
    <xf numFmtId="0" fontId="2" fillId="0" borderId="0" xfId="0" applyNumberFormat="1" applyFont="1" applyAlignment="1">
      <alignment vertical="top" wrapText="1"/>
    </xf>
    <xf numFmtId="0" fontId="0" fillId="0" borderId="0" xfId="0" applyNumberFormat="1" applyAlignment="1">
      <alignment vertical="top" wrapText="1"/>
    </xf>
    <xf numFmtId="0" fontId="0" fillId="0" borderId="60" xfId="0" applyNumberFormat="1" applyBorder="1" applyAlignment="1">
      <alignment vertical="top" wrapText="1"/>
    </xf>
    <xf numFmtId="0" fontId="0" fillId="0" borderId="61" xfId="0" applyNumberFormat="1" applyBorder="1" applyAlignment="1">
      <alignment vertical="top" wrapText="1"/>
    </xf>
    <xf numFmtId="0" fontId="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61" xfId="0" applyNumberFormat="1" applyBorder="1" applyAlignment="1">
      <alignment horizontal="center" vertical="top" wrapText="1"/>
    </xf>
    <xf numFmtId="0" fontId="0" fillId="0" borderId="62" xfId="0" applyNumberFormat="1" applyBorder="1" applyAlignment="1">
      <alignment horizontal="center" vertical="top" wrapText="1"/>
    </xf>
    <xf numFmtId="0" fontId="28" fillId="33" borderId="0" xfId="0" applyFont="1" applyFill="1" applyBorder="1" applyAlignment="1">
      <alignment horizontal="center"/>
    </xf>
    <xf numFmtId="172" fontId="12" fillId="33" borderId="63" xfId="0" applyNumberFormat="1" applyFont="1" applyFill="1" applyBorder="1" applyAlignment="1">
      <alignment horizontal="center"/>
    </xf>
    <xf numFmtId="172" fontId="10" fillId="33" borderId="59" xfId="0" applyNumberFormat="1" applyFont="1" applyFill="1" applyBorder="1" applyAlignment="1">
      <alignment horizontal="center"/>
    </xf>
    <xf numFmtId="172" fontId="12" fillId="33" borderId="40" xfId="0" applyNumberFormat="1" applyFont="1" applyFill="1" applyBorder="1" applyAlignment="1">
      <alignment horizontal="center"/>
    </xf>
    <xf numFmtId="172" fontId="10" fillId="33" borderId="55" xfId="0" applyNumberFormat="1" applyFont="1" applyFill="1" applyBorder="1" applyAlignment="1">
      <alignment horizontal="center"/>
    </xf>
    <xf numFmtId="173" fontId="0" fillId="0" borderId="29" xfId="0" applyNumberFormat="1" applyBorder="1" applyAlignment="1">
      <alignment horizontal="center"/>
    </xf>
    <xf numFmtId="173" fontId="0" fillId="0" borderId="10" xfId="0" applyNumberFormat="1" applyFill="1" applyBorder="1" applyAlignment="1">
      <alignment horizontal="center"/>
    </xf>
    <xf numFmtId="0" fontId="0" fillId="0" borderId="51" xfId="0" applyBorder="1" applyAlignment="1">
      <alignment/>
    </xf>
    <xf numFmtId="0" fontId="30" fillId="0" borderId="50" xfId="0" applyFont="1" applyBorder="1" applyAlignment="1">
      <alignment/>
    </xf>
    <xf numFmtId="0" fontId="0" fillId="0" borderId="48" xfId="0" applyBorder="1" applyAlignment="1">
      <alignment/>
    </xf>
    <xf numFmtId="0" fontId="0" fillId="0" borderId="49" xfId="0" applyBorder="1" applyAlignment="1">
      <alignment/>
    </xf>
    <xf numFmtId="0" fontId="0" fillId="0" borderId="47" xfId="0" applyBorder="1" applyAlignment="1">
      <alignment/>
    </xf>
    <xf numFmtId="0" fontId="0" fillId="0" borderId="50" xfId="0" applyFont="1" applyBorder="1" applyAlignment="1">
      <alignment/>
    </xf>
    <xf numFmtId="172" fontId="0" fillId="0" borderId="36" xfId="0" applyNumberFormat="1" applyFill="1" applyBorder="1" applyAlignment="1">
      <alignment horizontal="center"/>
    </xf>
    <xf numFmtId="175" fontId="0" fillId="0" borderId="29" xfId="0" applyNumberFormat="1" applyFill="1" applyBorder="1" applyAlignment="1">
      <alignment horizontal="center"/>
    </xf>
    <xf numFmtId="172" fontId="0" fillId="0" borderId="48" xfId="0" applyNumberFormat="1" applyFill="1" applyBorder="1" applyAlignment="1">
      <alignment horizontal="center"/>
    </xf>
    <xf numFmtId="9" fontId="4" fillId="33" borderId="17" xfId="0" applyNumberFormat="1" applyFont="1" applyFill="1" applyBorder="1" applyAlignment="1">
      <alignment horizontal="center" vertical="center"/>
    </xf>
    <xf numFmtId="172" fontId="4" fillId="34" borderId="17" xfId="0" applyNumberFormat="1" applyFont="1" applyFill="1" applyBorder="1" applyAlignment="1" applyProtection="1">
      <alignment horizontal="center" vertical="center"/>
      <protection locked="0"/>
    </xf>
    <xf numFmtId="0" fontId="4" fillId="34" borderId="17" xfId="0" applyFont="1" applyFill="1" applyBorder="1" applyAlignment="1" applyProtection="1">
      <alignment horizontal="center" vertical="center"/>
      <protection locked="0"/>
    </xf>
    <xf numFmtId="0" fontId="2" fillId="33" borderId="0" xfId="0" applyFont="1" applyFill="1" applyBorder="1" applyAlignment="1">
      <alignment horizontal="center"/>
    </xf>
    <xf numFmtId="0" fontId="2" fillId="34" borderId="0" xfId="0" applyFont="1" applyFill="1" applyBorder="1" applyAlignment="1" applyProtection="1">
      <alignment horizontal="right"/>
      <protection locked="0"/>
    </xf>
    <xf numFmtId="0" fontId="5" fillId="33" borderId="0" xfId="0" applyFont="1" applyFill="1" applyAlignment="1">
      <alignment horizontal="center"/>
    </xf>
    <xf numFmtId="0" fontId="20" fillId="33" borderId="0" xfId="0" applyFont="1" applyFill="1" applyAlignment="1">
      <alignment horizontal="center"/>
    </xf>
    <xf numFmtId="0" fontId="2" fillId="33" borderId="37" xfId="0" applyFont="1" applyFill="1" applyBorder="1" applyAlignment="1">
      <alignment horizontal="left"/>
    </xf>
    <xf numFmtId="0" fontId="2" fillId="33" borderId="39" xfId="0" applyFont="1" applyFill="1" applyBorder="1" applyAlignment="1">
      <alignment horizontal="left"/>
    </xf>
    <xf numFmtId="0" fontId="0" fillId="0" borderId="40" xfId="0" applyBorder="1" applyAlignment="1">
      <alignment horizontal="center"/>
    </xf>
    <xf numFmtId="0" fontId="0" fillId="0" borderId="31" xfId="0" applyBorder="1" applyAlignment="1">
      <alignment horizontal="center"/>
    </xf>
    <xf numFmtId="0" fontId="0" fillId="0" borderId="55" xfId="0" applyBorder="1" applyAlignment="1">
      <alignment horizontal="center"/>
    </xf>
    <xf numFmtId="0" fontId="0" fillId="0" borderId="49"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29" xfId="0" applyBorder="1" applyAlignment="1">
      <alignment horizontal="center"/>
    </xf>
    <xf numFmtId="0" fontId="7" fillId="33" borderId="44" xfId="0" applyFont="1" applyFill="1" applyBorder="1" applyAlignment="1">
      <alignment horizontal="center" vertical="top" wrapText="1"/>
    </xf>
    <xf numFmtId="0" fontId="7" fillId="33" borderId="64" xfId="0" applyFont="1" applyFill="1" applyBorder="1" applyAlignment="1">
      <alignment horizontal="center" vertical="top" wrapText="1"/>
    </xf>
    <xf numFmtId="0" fontId="7" fillId="33" borderId="45" xfId="0" applyFont="1" applyFill="1" applyBorder="1" applyAlignment="1">
      <alignment horizontal="center" vertical="top" wrapText="1"/>
    </xf>
    <xf numFmtId="0" fontId="2" fillId="0" borderId="11" xfId="0" applyFont="1" applyBorder="1" applyAlignment="1">
      <alignment horizontal="center"/>
    </xf>
    <xf numFmtId="0" fontId="2" fillId="0" borderId="33" xfId="0" applyFont="1" applyBorder="1" applyAlignment="1">
      <alignment horizontal="center"/>
    </xf>
    <xf numFmtId="0" fontId="2" fillId="0" borderId="34" xfId="0" applyFont="1" applyBorder="1" applyAlignment="1">
      <alignment horizontal="center"/>
    </xf>
    <xf numFmtId="0" fontId="2" fillId="34" borderId="11" xfId="0" applyFont="1" applyFill="1" applyBorder="1" applyAlignment="1" applyProtection="1">
      <alignment horizontal="center"/>
      <protection locked="0"/>
    </xf>
    <xf numFmtId="0" fontId="2" fillId="34" borderId="34" xfId="0" applyFont="1" applyFill="1" applyBorder="1" applyAlignment="1" applyProtection="1">
      <alignment horizontal="center"/>
      <protection locked="0"/>
    </xf>
    <xf numFmtId="0" fontId="10" fillId="0" borderId="0" xfId="0" applyFont="1" applyBorder="1" applyAlignment="1">
      <alignment horizontal="center"/>
    </xf>
    <xf numFmtId="0" fontId="2" fillId="0" borderId="46" xfId="0" applyFont="1" applyBorder="1" applyAlignment="1">
      <alignment horizontal="center"/>
    </xf>
    <xf numFmtId="0" fontId="2" fillId="0" borderId="65" xfId="0" applyFont="1" applyBorder="1" applyAlignment="1">
      <alignment horizontal="center"/>
    </xf>
    <xf numFmtId="0" fontId="2" fillId="0" borderId="56" xfId="0" applyFont="1" applyBorder="1" applyAlignment="1">
      <alignment horizontal="center"/>
    </xf>
    <xf numFmtId="0" fontId="0" fillId="0" borderId="46" xfId="0" applyBorder="1" applyAlignment="1">
      <alignment horizontal="center"/>
    </xf>
    <xf numFmtId="0" fontId="0" fillId="0" borderId="56" xfId="0" applyBorder="1" applyAlignment="1">
      <alignment horizontal="center"/>
    </xf>
    <xf numFmtId="0" fontId="2" fillId="0" borderId="0" xfId="0" applyFont="1" applyAlignment="1">
      <alignment horizontal="center"/>
    </xf>
    <xf numFmtId="0" fontId="19" fillId="33" borderId="46" xfId="0" applyFont="1" applyFill="1" applyBorder="1" applyAlignment="1">
      <alignment horizontal="center" vertical="top" wrapText="1"/>
    </xf>
    <xf numFmtId="0" fontId="19" fillId="33" borderId="56" xfId="0" applyFont="1" applyFill="1" applyBorder="1" applyAlignment="1">
      <alignment horizontal="center" vertical="top" wrapText="1"/>
    </xf>
    <xf numFmtId="0" fontId="0" fillId="33" borderId="15" xfId="0" applyFill="1" applyBorder="1" applyAlignment="1">
      <alignment horizontal="center"/>
    </xf>
    <xf numFmtId="0" fontId="0" fillId="33" borderId="0" xfId="0" applyFill="1"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0" fillId="0" borderId="65" xfId="0" applyBorder="1" applyAlignment="1">
      <alignment horizontal="center"/>
    </xf>
    <xf numFmtId="0" fontId="2" fillId="34" borderId="46" xfId="0" applyFont="1" applyFill="1" applyBorder="1" applyAlignment="1" applyProtection="1">
      <alignment horizontal="center"/>
      <protection locked="0"/>
    </xf>
    <xf numFmtId="0" fontId="2" fillId="34" borderId="65" xfId="0" applyFont="1" applyFill="1" applyBorder="1" applyAlignment="1" applyProtection="1">
      <alignment horizontal="center"/>
      <protection locked="0"/>
    </xf>
    <xf numFmtId="0" fontId="2" fillId="34" borderId="56" xfId="0" applyFont="1" applyFill="1" applyBorder="1" applyAlignment="1" applyProtection="1">
      <alignment horizontal="center"/>
      <protection locked="0"/>
    </xf>
    <xf numFmtId="0" fontId="29" fillId="33" borderId="11" xfId="0" applyFont="1" applyFill="1" applyBorder="1" applyAlignment="1">
      <alignment horizontal="center"/>
    </xf>
    <xf numFmtId="0" fontId="29" fillId="33" borderId="33" xfId="0" applyFont="1" applyFill="1" applyBorder="1" applyAlignment="1">
      <alignment horizontal="center"/>
    </xf>
    <xf numFmtId="0" fontId="29" fillId="33" borderId="34" xfId="0" applyFont="1" applyFill="1" applyBorder="1" applyAlignment="1">
      <alignment horizontal="center"/>
    </xf>
    <xf numFmtId="0" fontId="0" fillId="33" borderId="12" xfId="0" applyFill="1" applyBorder="1" applyAlignment="1">
      <alignment horizontal="center"/>
    </xf>
    <xf numFmtId="0" fontId="0" fillId="33" borderId="13" xfId="0" applyFill="1" applyBorder="1" applyAlignment="1">
      <alignment horizontal="center"/>
    </xf>
    <xf numFmtId="0" fontId="4" fillId="33" borderId="0" xfId="0" applyFont="1" applyFill="1" applyBorder="1" applyAlignment="1">
      <alignment horizontal="left"/>
    </xf>
    <xf numFmtId="0" fontId="0" fillId="33" borderId="0" xfId="0" applyFill="1" applyAlignment="1">
      <alignment horizontal="right"/>
    </xf>
    <xf numFmtId="0" fontId="0" fillId="0" borderId="15" xfId="0" applyBorder="1" applyAlignment="1">
      <alignment horizontal="left"/>
    </xf>
    <xf numFmtId="0" fontId="0" fillId="0" borderId="0" xfId="0" applyBorder="1" applyAlignment="1">
      <alignment horizontal="left"/>
    </xf>
    <xf numFmtId="0" fontId="0" fillId="0" borderId="37" xfId="0" applyBorder="1" applyAlignment="1">
      <alignment horizontal="left"/>
    </xf>
    <xf numFmtId="0" fontId="0" fillId="0" borderId="38" xfId="0" applyBorder="1" applyAlignment="1">
      <alignment horizontal="left"/>
    </xf>
    <xf numFmtId="0" fontId="6" fillId="33" borderId="38" xfId="0" applyFont="1" applyFill="1" applyBorder="1" applyAlignment="1">
      <alignment horizontal="center"/>
    </xf>
    <xf numFmtId="172" fontId="31" fillId="33" borderId="12" xfId="0" applyNumberFormat="1" applyFont="1" applyFill="1" applyBorder="1" applyAlignment="1">
      <alignment horizontal="center"/>
    </xf>
    <xf numFmtId="172" fontId="31" fillId="33" borderId="13" xfId="0" applyNumberFormat="1" applyFont="1" applyFill="1" applyBorder="1" applyAlignment="1">
      <alignment horizontal="center"/>
    </xf>
    <xf numFmtId="172" fontId="31" fillId="33" borderId="14" xfId="0" applyNumberFormat="1" applyFont="1" applyFill="1" applyBorder="1" applyAlignment="1">
      <alignment horizontal="center"/>
    </xf>
    <xf numFmtId="172" fontId="31" fillId="33" borderId="40" xfId="0" applyNumberFormat="1" applyFont="1" applyFill="1" applyBorder="1" applyAlignment="1">
      <alignment horizontal="center"/>
    </xf>
    <xf numFmtId="172" fontId="31" fillId="33" borderId="31" xfId="0" applyNumberFormat="1" applyFont="1" applyFill="1" applyBorder="1" applyAlignment="1">
      <alignment horizontal="center"/>
    </xf>
    <xf numFmtId="172" fontId="31" fillId="33" borderId="55" xfId="0" applyNumberFormat="1" applyFont="1" applyFill="1" applyBorder="1" applyAlignment="1">
      <alignment horizontal="center"/>
    </xf>
    <xf numFmtId="9" fontId="2" fillId="33" borderId="54" xfId="0" applyNumberFormat="1" applyFont="1" applyFill="1" applyBorder="1" applyAlignment="1">
      <alignment horizontal="center"/>
    </xf>
    <xf numFmtId="9" fontId="2" fillId="33" borderId="19" xfId="0" applyNumberFormat="1" applyFont="1" applyFill="1" applyBorder="1" applyAlignment="1">
      <alignment horizontal="center"/>
    </xf>
    <xf numFmtId="0" fontId="9" fillId="33" borderId="33" xfId="0" applyFont="1" applyFill="1" applyBorder="1" applyAlignment="1">
      <alignment horizontal="center"/>
    </xf>
    <xf numFmtId="0" fontId="4" fillId="33" borderId="11" xfId="0" applyFont="1" applyFill="1" applyBorder="1" applyAlignment="1">
      <alignment horizontal="left"/>
    </xf>
    <xf numFmtId="0" fontId="4" fillId="33" borderId="34" xfId="0" applyFont="1" applyFill="1" applyBorder="1" applyAlignment="1">
      <alignment horizontal="left"/>
    </xf>
    <xf numFmtId="0" fontId="3" fillId="33" borderId="11" xfId="0" applyFont="1" applyFill="1" applyBorder="1" applyAlignment="1">
      <alignment horizontal="center"/>
    </xf>
    <xf numFmtId="0" fontId="3" fillId="33" borderId="33" xfId="0" applyFont="1" applyFill="1" applyBorder="1" applyAlignment="1">
      <alignment horizontal="center"/>
    </xf>
    <xf numFmtId="0" fontId="3" fillId="33" borderId="34" xfId="0" applyFont="1" applyFill="1" applyBorder="1" applyAlignment="1">
      <alignment horizontal="center"/>
    </xf>
    <xf numFmtId="0" fontId="31" fillId="33" borderId="12" xfId="0" applyFont="1" applyFill="1" applyBorder="1" applyAlignment="1">
      <alignment horizontal="center"/>
    </xf>
    <xf numFmtId="0" fontId="31" fillId="33" borderId="13" xfId="0" applyFont="1" applyFill="1" applyBorder="1" applyAlignment="1">
      <alignment horizontal="center"/>
    </xf>
    <xf numFmtId="0" fontId="31" fillId="33" borderId="14" xfId="0" applyFont="1" applyFill="1" applyBorder="1" applyAlignment="1">
      <alignment horizontal="center"/>
    </xf>
    <xf numFmtId="0" fontId="0" fillId="33" borderId="15" xfId="0" applyFill="1" applyBorder="1" applyAlignment="1">
      <alignment horizontal="left"/>
    </xf>
    <xf numFmtId="0" fontId="0" fillId="33" borderId="0" xfId="0" applyFill="1" applyBorder="1" applyAlignment="1">
      <alignment horizontal="left"/>
    </xf>
    <xf numFmtId="0" fontId="4" fillId="34" borderId="0" xfId="0" applyFont="1" applyFill="1" applyBorder="1" applyAlignment="1" applyProtection="1">
      <alignment horizontal="right"/>
      <protection locked="0"/>
    </xf>
    <xf numFmtId="0" fontId="9" fillId="33" borderId="0" xfId="0" applyFont="1" applyFill="1" applyAlignment="1">
      <alignment horizontal="right"/>
    </xf>
    <xf numFmtId="0" fontId="2" fillId="0" borderId="2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49" xfId="0" applyFont="1" applyBorder="1" applyAlignment="1">
      <alignment horizontal="center" vertical="center" wrapText="1"/>
    </xf>
    <xf numFmtId="0" fontId="4" fillId="33" borderId="11" xfId="0" applyFont="1" applyFill="1" applyBorder="1" applyAlignment="1">
      <alignment horizontal="center"/>
    </xf>
    <xf numFmtId="0" fontId="4" fillId="33" borderId="33" xfId="0" applyFont="1" applyFill="1" applyBorder="1" applyAlignment="1">
      <alignment horizontal="center"/>
    </xf>
    <xf numFmtId="0" fontId="4" fillId="33" borderId="34" xfId="0" applyFont="1" applyFill="1" applyBorder="1" applyAlignment="1">
      <alignment horizontal="center"/>
    </xf>
    <xf numFmtId="172" fontId="31" fillId="35" borderId="12" xfId="0" applyNumberFormat="1" applyFont="1" applyFill="1" applyBorder="1" applyAlignment="1">
      <alignment horizontal="center"/>
    </xf>
    <xf numFmtId="172" fontId="31" fillId="35" borderId="13" xfId="0" applyNumberFormat="1" applyFont="1" applyFill="1" applyBorder="1" applyAlignment="1">
      <alignment horizontal="center"/>
    </xf>
    <xf numFmtId="172" fontId="31" fillId="35" borderId="14" xfId="0" applyNumberFormat="1" applyFont="1" applyFill="1" applyBorder="1" applyAlignment="1">
      <alignment horizontal="center"/>
    </xf>
    <xf numFmtId="0" fontId="0" fillId="0" borderId="46" xfId="0" applyFont="1" applyBorder="1" applyAlignment="1">
      <alignment horizontal="center"/>
    </xf>
    <xf numFmtId="0" fontId="9" fillId="33" borderId="33" xfId="0" applyFont="1" applyFill="1" applyBorder="1" applyAlignment="1">
      <alignment horizontal="center"/>
    </xf>
    <xf numFmtId="0" fontId="0" fillId="0" borderId="10" xfId="0" applyBorder="1" applyAlignment="1">
      <alignment horizontal="center"/>
    </xf>
    <xf numFmtId="0" fontId="7" fillId="33" borderId="46" xfId="0" applyFont="1" applyFill="1" applyBorder="1" applyAlignment="1">
      <alignment horizontal="center" vertical="top" wrapText="1"/>
    </xf>
    <xf numFmtId="0" fontId="7" fillId="33" borderId="56" xfId="0" applyFont="1" applyFill="1" applyBorder="1" applyAlignment="1">
      <alignment horizontal="center" vertical="top" wrapText="1"/>
    </xf>
    <xf numFmtId="172" fontId="31" fillId="35" borderId="40" xfId="0" applyNumberFormat="1" applyFont="1" applyFill="1" applyBorder="1" applyAlignment="1">
      <alignment horizontal="center"/>
    </xf>
    <xf numFmtId="172" fontId="31" fillId="35" borderId="31" xfId="0" applyNumberFormat="1" applyFont="1" applyFill="1" applyBorder="1" applyAlignment="1">
      <alignment horizontal="center"/>
    </xf>
    <xf numFmtId="172" fontId="31" fillId="35" borderId="55" xfId="0" applyNumberFormat="1" applyFont="1" applyFill="1" applyBorder="1" applyAlignment="1">
      <alignment horizontal="center"/>
    </xf>
    <xf numFmtId="0" fontId="31" fillId="36" borderId="12" xfId="0" applyFont="1" applyFill="1" applyBorder="1" applyAlignment="1">
      <alignment horizontal="center"/>
    </xf>
    <xf numFmtId="0" fontId="31" fillId="36" borderId="13" xfId="0" applyFont="1" applyFill="1" applyBorder="1" applyAlignment="1">
      <alignment horizontal="center"/>
    </xf>
    <xf numFmtId="0" fontId="31" fillId="36" borderId="14" xfId="0" applyFont="1" applyFill="1" applyBorder="1" applyAlignment="1">
      <alignment horizontal="center"/>
    </xf>
    <xf numFmtId="0" fontId="4" fillId="33" borderId="12"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4" fillId="33" borderId="39" xfId="0" applyFont="1" applyFill="1" applyBorder="1" applyAlignment="1">
      <alignment horizontal="center" vertical="center" wrapText="1"/>
    </xf>
    <xf numFmtId="172" fontId="4" fillId="37" borderId="20" xfId="0" applyNumberFormat="1" applyFont="1" applyFill="1" applyBorder="1" applyAlignment="1">
      <alignment horizontal="center" vertical="center"/>
    </xf>
    <xf numFmtId="172" fontId="4" fillId="37" borderId="43" xfId="0" applyNumberFormat="1" applyFont="1" applyFill="1" applyBorder="1" applyAlignment="1">
      <alignment horizontal="center" vertical="center"/>
    </xf>
    <xf numFmtId="0" fontId="28" fillId="33" borderId="57" xfId="0" applyFont="1" applyFill="1" applyBorder="1" applyAlignment="1">
      <alignment horizontal="center"/>
    </xf>
    <xf numFmtId="173" fontId="0" fillId="0" borderId="63" xfId="0" applyNumberFormat="1" applyFill="1" applyBorder="1" applyAlignment="1">
      <alignment horizontal="center"/>
    </xf>
    <xf numFmtId="173" fontId="0" fillId="33" borderId="63" xfId="0" applyNumberFormat="1" applyFill="1" applyBorder="1" applyAlignment="1">
      <alignment horizontal="center"/>
    </xf>
    <xf numFmtId="0" fontId="2" fillId="33" borderId="36" xfId="0" applyFont="1" applyFill="1" applyBorder="1" applyAlignment="1">
      <alignment horizontal="center" vertical="center"/>
    </xf>
    <xf numFmtId="0" fontId="65" fillId="33" borderId="48" xfId="0" applyFont="1" applyFill="1" applyBorder="1" applyAlignment="1">
      <alignment horizontal="center" vertical="center"/>
    </xf>
    <xf numFmtId="172" fontId="2" fillId="33" borderId="29" xfId="0" applyNumberFormat="1" applyFont="1" applyFill="1" applyBorder="1" applyAlignment="1">
      <alignment horizontal="center"/>
    </xf>
    <xf numFmtId="0" fontId="0" fillId="33" borderId="15" xfId="0" applyFont="1" applyFill="1" applyBorder="1" applyAlignment="1">
      <alignment horizontal="left"/>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unet.co.il/Documents%20and%20Settings\yaniv\Local%20Settings\Temporary%20Internet%20Files\Content.IE5\WB8ZGL63\Documents%20and%20Settings\yaniv\Local%20Settings\Temporary%20Internet%20Files\Content.IE5\YMXNDTOM\&#1502;&#1511;&#1491;&#1502;&#1497;&#15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מחולל חישוב"/>
      <sheetName val="אליהו"/>
      <sheetName val="מגדל"/>
      <sheetName val="כלל"/>
      <sheetName val="פרמטרים"/>
    </sheetNames>
    <sheetDataSet>
      <sheetData sheetId="4">
        <row r="5">
          <cell r="B5" t="str">
            <v>male</v>
          </cell>
          <cell r="D5">
            <v>60</v>
          </cell>
        </row>
        <row r="6">
          <cell r="B6" t="str">
            <v>female</v>
          </cell>
          <cell r="D6">
            <v>65</v>
          </cell>
        </row>
        <row r="7">
          <cell r="D7">
            <v>67</v>
          </cell>
        </row>
        <row r="8">
          <cell r="D8">
            <v>70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5"/>
  <dimension ref="A1:AE99"/>
  <sheetViews>
    <sheetView rightToLeft="1" zoomScalePageLayoutView="0" workbookViewId="0" topLeftCell="A37">
      <selection activeCell="K22" sqref="K22"/>
    </sheetView>
  </sheetViews>
  <sheetFormatPr defaultColWidth="9.140625" defaultRowHeight="12.75"/>
  <cols>
    <col min="1" max="1" width="16.421875" style="0" customWidth="1"/>
    <col min="2" max="2" width="12.28125" style="0" customWidth="1"/>
    <col min="3" max="3" width="12.140625" style="0" customWidth="1"/>
    <col min="4" max="4" width="11.57421875" style="0" customWidth="1"/>
    <col min="5" max="5" width="14.140625" style="5" customWidth="1"/>
    <col min="6" max="6" width="11.8515625" style="5" customWidth="1"/>
    <col min="7" max="7" width="6.7109375" style="0" bestFit="1" customWidth="1"/>
    <col min="12" max="12" width="10.28125" style="0" hidden="1" customWidth="1"/>
    <col min="13" max="23" width="9.140625" style="0" hidden="1" customWidth="1"/>
    <col min="24" max="24" width="9.140625" style="0" customWidth="1"/>
  </cols>
  <sheetData>
    <row r="1" spans="1:7" ht="18.75" thickBot="1">
      <c r="A1" s="311" t="s">
        <v>4</v>
      </c>
      <c r="B1" s="311"/>
      <c r="C1" s="311"/>
      <c r="D1" s="311"/>
      <c r="E1" s="311"/>
      <c r="F1" s="311"/>
      <c r="G1" s="311"/>
    </row>
    <row r="2" spans="1:10" ht="16.5" thickBot="1">
      <c r="A2" s="312" t="s">
        <v>91</v>
      </c>
      <c r="B2" s="312"/>
      <c r="C2" s="312"/>
      <c r="D2" s="312"/>
      <c r="E2" s="312"/>
      <c r="F2" s="312"/>
      <c r="G2" s="312"/>
      <c r="I2" s="328" t="s">
        <v>92</v>
      </c>
      <c r="J2" s="329"/>
    </row>
    <row r="3" spans="1:21" ht="18">
      <c r="A3" s="24"/>
      <c r="B3" s="24"/>
      <c r="C3" s="24"/>
      <c r="D3" s="24"/>
      <c r="E3" s="24"/>
      <c r="F3" s="24"/>
      <c r="G3" s="24"/>
      <c r="N3" t="s">
        <v>77</v>
      </c>
      <c r="Q3" t="s">
        <v>1</v>
      </c>
      <c r="R3" t="s">
        <v>3</v>
      </c>
      <c r="S3" t="s">
        <v>2</v>
      </c>
      <c r="T3" s="5" t="s">
        <v>76</v>
      </c>
      <c r="U3" s="5" t="s">
        <v>75</v>
      </c>
    </row>
    <row r="4" spans="1:7" ht="12.75">
      <c r="A4" s="21" t="s">
        <v>53</v>
      </c>
      <c r="B4" s="14"/>
      <c r="C4" s="15"/>
      <c r="D4" s="15"/>
      <c r="E4" s="89"/>
      <c r="F4" s="89"/>
      <c r="G4" s="15"/>
    </row>
    <row r="5" spans="1:20" ht="12.75">
      <c r="A5" s="310" t="s">
        <v>86</v>
      </c>
      <c r="B5" s="310"/>
      <c r="C5" s="15"/>
      <c r="D5" s="15"/>
      <c r="E5" s="89"/>
      <c r="F5" s="89"/>
      <c r="G5" s="15"/>
      <c r="N5" s="12" t="s">
        <v>35</v>
      </c>
      <c r="O5" s="111" t="s">
        <v>36</v>
      </c>
      <c r="P5" s="112">
        <v>2012</v>
      </c>
      <c r="R5" s="3"/>
      <c r="S5" s="3"/>
      <c r="T5" s="209"/>
    </row>
    <row r="6" spans="1:20" ht="12.75">
      <c r="A6" s="15"/>
      <c r="B6" s="15"/>
      <c r="C6" s="15"/>
      <c r="D6" s="15"/>
      <c r="E6" s="89"/>
      <c r="F6" s="89"/>
      <c r="G6" s="15"/>
      <c r="N6" s="12">
        <v>0</v>
      </c>
      <c r="O6" s="111">
        <v>62400</v>
      </c>
      <c r="P6" s="113">
        <v>0.1</v>
      </c>
      <c r="R6" s="3"/>
      <c r="S6" s="3"/>
      <c r="T6" s="209"/>
    </row>
    <row r="7" spans="1:20" ht="13.5" thickBot="1">
      <c r="A7" s="15"/>
      <c r="B7" s="15"/>
      <c r="C7" s="15"/>
      <c r="D7" s="157" t="s">
        <v>5</v>
      </c>
      <c r="E7" s="155" t="s">
        <v>6</v>
      </c>
      <c r="F7" s="155"/>
      <c r="G7" s="155" t="s">
        <v>7</v>
      </c>
      <c r="M7" s="10"/>
      <c r="N7" s="12">
        <f>O6+1</f>
        <v>62401</v>
      </c>
      <c r="O7" s="111">
        <v>106560</v>
      </c>
      <c r="P7" s="113">
        <v>0.14</v>
      </c>
      <c r="R7" s="3"/>
      <c r="S7" s="3"/>
      <c r="T7" s="209"/>
    </row>
    <row r="8" spans="1:20" ht="13.5" thickBot="1">
      <c r="A8" s="15" t="s">
        <v>8</v>
      </c>
      <c r="B8" s="187">
        <v>11950</v>
      </c>
      <c r="C8" s="15" t="s">
        <v>9</v>
      </c>
      <c r="D8" s="187">
        <v>8500</v>
      </c>
      <c r="E8" s="187">
        <v>17000</v>
      </c>
      <c r="F8" s="89"/>
      <c r="G8" s="189">
        <f>VLOOKUP(B11,N15:P20,3)</f>
        <v>0.34</v>
      </c>
      <c r="M8" s="10"/>
      <c r="N8" s="12">
        <f>O7+1</f>
        <v>106561</v>
      </c>
      <c r="O8" s="111">
        <v>173160</v>
      </c>
      <c r="P8" s="113">
        <v>0.21</v>
      </c>
      <c r="R8" s="3"/>
      <c r="S8" s="3"/>
      <c r="T8" s="209"/>
    </row>
    <row r="9" spans="1:20" ht="12.75">
      <c r="A9" s="15"/>
      <c r="B9" s="187"/>
      <c r="C9" s="15"/>
      <c r="D9" s="187"/>
      <c r="E9" s="187"/>
      <c r="F9" s="89"/>
      <c r="G9" s="15"/>
      <c r="M9" s="10"/>
      <c r="N9" s="12"/>
      <c r="O9" s="111"/>
      <c r="P9" s="113"/>
      <c r="R9" s="3"/>
      <c r="S9" s="3"/>
      <c r="T9" s="209"/>
    </row>
    <row r="10" spans="1:20" ht="13.5" thickBot="1">
      <c r="A10" s="15"/>
      <c r="B10" s="15"/>
      <c r="C10" s="15"/>
      <c r="D10" s="15"/>
      <c r="E10" s="89"/>
      <c r="F10" s="89"/>
      <c r="G10" s="15"/>
      <c r="N10" s="12">
        <f>O8+1</f>
        <v>173161</v>
      </c>
      <c r="O10" s="111">
        <v>261360</v>
      </c>
      <c r="P10" s="113">
        <v>0.3</v>
      </c>
      <c r="R10" s="3"/>
      <c r="S10" s="3"/>
      <c r="T10" s="209"/>
    </row>
    <row r="11" spans="1:16" ht="13.5" thickBot="1">
      <c r="A11" s="15" t="s">
        <v>84</v>
      </c>
      <c r="B11" s="255">
        <v>22000</v>
      </c>
      <c r="C11" s="188" t="s">
        <v>10</v>
      </c>
      <c r="D11" s="256">
        <v>40</v>
      </c>
      <c r="E11" s="14"/>
      <c r="F11" s="14"/>
      <c r="N11" s="12">
        <f>O10+1</f>
        <v>261361</v>
      </c>
      <c r="O11" s="111">
        <v>501960</v>
      </c>
      <c r="P11" s="113">
        <v>0.33</v>
      </c>
    </row>
    <row r="12" spans="1:16" ht="12.75">
      <c r="A12" s="15"/>
      <c r="B12" s="204"/>
      <c r="C12" s="188"/>
      <c r="D12" s="23"/>
      <c r="E12" s="14"/>
      <c r="F12" s="14"/>
      <c r="G12" s="20"/>
      <c r="N12" s="12"/>
      <c r="O12" s="111"/>
      <c r="P12" s="113"/>
    </row>
    <row r="13" spans="1:16" ht="13.5" thickBot="1">
      <c r="A13" s="15"/>
      <c r="B13" s="15"/>
      <c r="C13" s="15"/>
      <c r="D13" s="15"/>
      <c r="E13" s="89"/>
      <c r="F13" s="89"/>
      <c r="G13" s="15"/>
      <c r="N13" s="12">
        <f>O11+1</f>
        <v>501961</v>
      </c>
      <c r="O13" s="111">
        <v>999999</v>
      </c>
      <c r="P13" s="113">
        <v>0.48</v>
      </c>
    </row>
    <row r="14" spans="1:7" ht="12.75">
      <c r="A14" s="26" t="s">
        <v>11</v>
      </c>
      <c r="B14" s="27"/>
      <c r="C14" s="27"/>
      <c r="D14" s="27"/>
      <c r="E14" s="28"/>
      <c r="F14" s="28"/>
      <c r="G14" s="29"/>
    </row>
    <row r="15" spans="1:16" ht="12.75" customHeight="1">
      <c r="A15" s="30"/>
      <c r="B15" s="16"/>
      <c r="C15" s="16"/>
      <c r="D15" s="16"/>
      <c r="E15" s="18"/>
      <c r="F15" s="18"/>
      <c r="G15" s="31"/>
      <c r="N15" s="114">
        <f aca="true" t="shared" si="0" ref="N15:O17">N6/12</f>
        <v>0</v>
      </c>
      <c r="O15" s="114">
        <f t="shared" si="0"/>
        <v>5200</v>
      </c>
      <c r="P15" s="113">
        <v>0.1</v>
      </c>
    </row>
    <row r="16" spans="1:16" ht="12.75" customHeight="1">
      <c r="A16" s="32" t="s">
        <v>12</v>
      </c>
      <c r="B16" s="19" t="s">
        <v>13</v>
      </c>
      <c r="C16" s="19"/>
      <c r="D16" s="19"/>
      <c r="E16" s="22"/>
      <c r="F16" s="22"/>
      <c r="G16" s="33"/>
      <c r="N16" s="114">
        <f t="shared" si="0"/>
        <v>5200.083333333333</v>
      </c>
      <c r="O16" s="114">
        <f t="shared" si="0"/>
        <v>8880</v>
      </c>
      <c r="P16" s="113">
        <v>0.15</v>
      </c>
    </row>
    <row r="17" spans="1:16" ht="13.5" customHeight="1">
      <c r="A17" s="32"/>
      <c r="B17" s="19" t="s">
        <v>89</v>
      </c>
      <c r="C17" s="19"/>
      <c r="D17" s="19"/>
      <c r="E17" s="22"/>
      <c r="F17" s="22"/>
      <c r="G17" s="33"/>
      <c r="N17" s="114">
        <f t="shared" si="0"/>
        <v>8880.083333333334</v>
      </c>
      <c r="O17" s="114">
        <f t="shared" si="0"/>
        <v>14430</v>
      </c>
      <c r="P17" s="113">
        <v>0.23</v>
      </c>
    </row>
    <row r="18" spans="1:16" ht="13.5" thickBot="1">
      <c r="A18" s="30"/>
      <c r="B18" s="16"/>
      <c r="C18" s="16"/>
      <c r="D18" s="16"/>
      <c r="E18" s="18"/>
      <c r="F18" s="18"/>
      <c r="G18" s="31"/>
      <c r="N18" s="114">
        <f>N10/12</f>
        <v>14430.083333333334</v>
      </c>
      <c r="O18" s="114">
        <f>O10/12</f>
        <v>21780</v>
      </c>
      <c r="P18" s="113">
        <v>0.3</v>
      </c>
    </row>
    <row r="19" spans="1:16" ht="12.75" customHeight="1" thickBot="1">
      <c r="A19" s="34" t="s">
        <v>14</v>
      </c>
      <c r="B19" s="103" t="s">
        <v>15</v>
      </c>
      <c r="C19" s="104"/>
      <c r="D19" s="35">
        <f>C24/7.5%</f>
        <v>13277.77777777778</v>
      </c>
      <c r="E19" s="18"/>
      <c r="F19" s="18"/>
      <c r="G19" s="31"/>
      <c r="N19" s="114">
        <f>N11/12</f>
        <v>21780.083333333332</v>
      </c>
      <c r="O19" s="114">
        <f>O11/12</f>
        <v>41830</v>
      </c>
      <c r="P19" s="113">
        <v>0.34</v>
      </c>
    </row>
    <row r="20" spans="1:31" ht="13.5" customHeight="1" thickBot="1">
      <c r="A20" s="30"/>
      <c r="B20" s="36"/>
      <c r="C20" s="18"/>
      <c r="D20" s="38"/>
      <c r="E20" s="18"/>
      <c r="F20" s="18"/>
      <c r="G20" s="31"/>
      <c r="N20" s="114">
        <f>N13/12</f>
        <v>41830.083333333336</v>
      </c>
      <c r="O20" s="114">
        <f>O13/12</f>
        <v>83333.25</v>
      </c>
      <c r="P20" s="113">
        <v>0.46</v>
      </c>
      <c r="AE20" s="1"/>
    </row>
    <row r="21" spans="1:7" ht="13.5" customHeight="1" thickBot="1">
      <c r="A21" s="30"/>
      <c r="B21" s="39" t="s">
        <v>16</v>
      </c>
      <c r="C21" s="40" t="s">
        <v>17</v>
      </c>
      <c r="D21" s="40" t="s">
        <v>18</v>
      </c>
      <c r="E21" s="41" t="s">
        <v>19</v>
      </c>
      <c r="F21" s="42" t="s">
        <v>20</v>
      </c>
      <c r="G21" s="31"/>
    </row>
    <row r="22" spans="1:7" ht="12.75" customHeight="1" thickBot="1">
      <c r="A22" s="43"/>
      <c r="B22" s="44" t="s">
        <v>21</v>
      </c>
      <c r="C22" s="45">
        <f>MIN(B11*8.33%,IF((B8/12-C24)&gt;0,B8/12-C24,0))</f>
        <v>0</v>
      </c>
      <c r="D22" s="46">
        <f>C22/B11</f>
        <v>0</v>
      </c>
      <c r="E22" s="47">
        <v>0.25</v>
      </c>
      <c r="F22" s="196">
        <f>E22*C22</f>
        <v>0</v>
      </c>
      <c r="G22" s="31"/>
    </row>
    <row r="23" spans="1:23" ht="12.75" customHeight="1" thickBot="1">
      <c r="A23" s="48" t="s">
        <v>22</v>
      </c>
      <c r="B23" s="49"/>
      <c r="C23" s="50"/>
      <c r="D23" s="16"/>
      <c r="E23" s="18"/>
      <c r="F23" s="51"/>
      <c r="G23" s="31"/>
      <c r="N23" s="334" t="s">
        <v>37</v>
      </c>
      <c r="O23" s="335"/>
      <c r="P23" s="115">
        <f>B11</f>
        <v>22000</v>
      </c>
      <c r="Q23" s="3"/>
      <c r="R23" s="3"/>
      <c r="U23" s="315" t="s">
        <v>112</v>
      </c>
      <c r="V23" s="316"/>
      <c r="W23" s="317"/>
    </row>
    <row r="24" spans="1:23" ht="12.75" customHeight="1" thickBot="1">
      <c r="A24" s="52"/>
      <c r="B24" s="53" t="s">
        <v>23</v>
      </c>
      <c r="C24" s="54">
        <f>IF(B11&gt;=(B8/12)/7.5%,B8/12,B11*7.5%)</f>
        <v>995.8333333333334</v>
      </c>
      <c r="D24" s="55">
        <f>C24/D19</f>
        <v>0.075</v>
      </c>
      <c r="E24" s="56">
        <v>0.25</v>
      </c>
      <c r="F24" s="197">
        <f>E24*C24</f>
        <v>248.95833333333334</v>
      </c>
      <c r="G24" s="31"/>
      <c r="N24" s="102"/>
      <c r="O24" s="102"/>
      <c r="P24" s="11"/>
      <c r="Q24" s="3"/>
      <c r="R24" s="3"/>
      <c r="U24" s="318" t="s">
        <v>38</v>
      </c>
      <c r="V24" s="319"/>
      <c r="W24" s="116">
        <v>8307</v>
      </c>
    </row>
    <row r="25" spans="1:23" ht="12.75" customHeight="1" thickBot="1">
      <c r="A25" s="30"/>
      <c r="B25" s="16"/>
      <c r="C25" s="50"/>
      <c r="D25" s="57"/>
      <c r="E25" s="36"/>
      <c r="F25" s="58"/>
      <c r="G25" s="31"/>
      <c r="N25" s="102"/>
      <c r="O25" s="102"/>
      <c r="P25" s="11"/>
      <c r="Q25" s="3"/>
      <c r="R25" s="3"/>
      <c r="U25" s="320" t="s">
        <v>39</v>
      </c>
      <c r="V25" s="321"/>
      <c r="W25" s="117">
        <v>73422</v>
      </c>
    </row>
    <row r="26" spans="1:18" ht="12.75" customHeight="1" thickBot="1">
      <c r="A26" s="25" t="s">
        <v>24</v>
      </c>
      <c r="B26" s="59" t="s">
        <v>23</v>
      </c>
      <c r="C26" s="60">
        <f>MAX(5%*D19,MIN(7%*D8,7%*D19))</f>
        <v>663.888888888889</v>
      </c>
      <c r="D26" s="61">
        <f>C26/D19</f>
        <v>0.05</v>
      </c>
      <c r="E26" s="62">
        <v>0.35</v>
      </c>
      <c r="F26" s="198">
        <f>MIN(7%*D8,C26)*E26</f>
        <v>208.25</v>
      </c>
      <c r="G26" s="31"/>
      <c r="N26" s="3"/>
      <c r="O26" s="3"/>
      <c r="P26" s="3"/>
      <c r="Q26" s="3"/>
      <c r="R26" s="3"/>
    </row>
    <row r="27" spans="1:23" ht="12.75" customHeight="1" thickBot="1">
      <c r="A27" s="63"/>
      <c r="B27" s="16"/>
      <c r="C27" s="50"/>
      <c r="D27" s="16"/>
      <c r="E27" s="64"/>
      <c r="F27" s="58"/>
      <c r="G27" s="31"/>
      <c r="N27" s="325" t="s">
        <v>40</v>
      </c>
      <c r="O27" s="326"/>
      <c r="P27" s="326"/>
      <c r="Q27" s="326"/>
      <c r="R27" s="327"/>
      <c r="U27" s="322" t="s">
        <v>41</v>
      </c>
      <c r="V27" s="323"/>
      <c r="W27" s="324"/>
    </row>
    <row r="28" spans="1:23" ht="12.75" customHeight="1" thickBot="1">
      <c r="A28" s="40" t="s">
        <v>25</v>
      </c>
      <c r="B28" s="65" t="s">
        <v>26</v>
      </c>
      <c r="C28" s="66"/>
      <c r="D28" s="67">
        <f>MIN(7800,(B11-D19))</f>
        <v>7800</v>
      </c>
      <c r="E28" s="107"/>
      <c r="F28" s="108"/>
      <c r="G28" s="31"/>
      <c r="N28" s="118">
        <v>0</v>
      </c>
      <c r="O28" s="119">
        <f>W24*0.6</f>
        <v>4984.2</v>
      </c>
      <c r="P28" s="119">
        <f>O28-N28</f>
        <v>4984.2</v>
      </c>
      <c r="Q28" s="120">
        <v>0.014</v>
      </c>
      <c r="R28" s="121">
        <f>IF($P$23&lt;P28,$P$23*W29,P28*W29)</f>
        <v>19.936799999999998</v>
      </c>
      <c r="U28" s="122"/>
      <c r="V28" s="123" t="s">
        <v>42</v>
      </c>
      <c r="W28" s="124" t="s">
        <v>43</v>
      </c>
    </row>
    <row r="29" spans="1:23" ht="24">
      <c r="A29" s="105"/>
      <c r="B29" s="68">
        <v>45</v>
      </c>
      <c r="C29" s="69">
        <f>MIN(D28*D29,5%*D8)</f>
        <v>390</v>
      </c>
      <c r="D29" s="70">
        <v>0.05</v>
      </c>
      <c r="E29" s="71">
        <v>0.35</v>
      </c>
      <c r="F29" s="194">
        <f>E29*C29</f>
        <v>136.5</v>
      </c>
      <c r="G29" s="31"/>
      <c r="N29" s="125">
        <f>O28+1</f>
        <v>4985.2</v>
      </c>
      <c r="O29" s="13">
        <f>W25</f>
        <v>73422</v>
      </c>
      <c r="P29" s="13">
        <f>O29-N29</f>
        <v>68436.8</v>
      </c>
      <c r="Q29" s="126">
        <v>0.0558</v>
      </c>
      <c r="R29" s="127">
        <f>IF($P$23&gt;O29,P29*W33,($P$23-P28)*W33)</f>
        <v>1191.106</v>
      </c>
      <c r="U29" s="128" t="s">
        <v>44</v>
      </c>
      <c r="V29" s="129">
        <v>0.0345</v>
      </c>
      <c r="W29" s="130">
        <v>0.004</v>
      </c>
    </row>
    <row r="30" spans="1:23" ht="24.75" thickBot="1">
      <c r="A30" s="106"/>
      <c r="B30" s="72">
        <v>47</v>
      </c>
      <c r="C30" s="73">
        <f>MIN(D28*D30,11%*D8)</f>
        <v>858</v>
      </c>
      <c r="D30" s="74">
        <f>IF(D11&lt;50,11%,11%*1.5)</f>
        <v>0.11</v>
      </c>
      <c r="E30" s="56">
        <f>G8</f>
        <v>0.34</v>
      </c>
      <c r="F30" s="192">
        <f>E30*C30</f>
        <v>291.72</v>
      </c>
      <c r="G30" s="31"/>
      <c r="N30" s="131"/>
      <c r="O30" s="132"/>
      <c r="P30" s="133" t="s">
        <v>0</v>
      </c>
      <c r="Q30" s="134"/>
      <c r="R30" s="135">
        <f>SUM(R28:R29)</f>
        <v>1211.0428</v>
      </c>
      <c r="U30" s="136" t="s">
        <v>45</v>
      </c>
      <c r="V30" s="137" t="s">
        <v>46</v>
      </c>
      <c r="W30" s="138">
        <v>0.031</v>
      </c>
    </row>
    <row r="31" spans="1:23" ht="13.5" thickBot="1">
      <c r="A31" s="75"/>
      <c r="B31" s="76"/>
      <c r="C31" s="77"/>
      <c r="D31" s="78"/>
      <c r="E31" s="64"/>
      <c r="F31" s="58"/>
      <c r="G31" s="31"/>
      <c r="N31" s="325" t="s">
        <v>47</v>
      </c>
      <c r="O31" s="326"/>
      <c r="P31" s="326"/>
      <c r="Q31" s="326"/>
      <c r="R31" s="327"/>
      <c r="S31" s="1"/>
      <c r="T31" s="1"/>
      <c r="U31" s="322" t="s">
        <v>41</v>
      </c>
      <c r="V31" s="323"/>
      <c r="W31" s="324"/>
    </row>
    <row r="32" spans="1:23" ht="13.5" thickBot="1">
      <c r="A32" s="80"/>
      <c r="B32" s="81" t="s">
        <v>28</v>
      </c>
      <c r="C32" s="82">
        <f>SUM(C22:C30)</f>
        <v>2907.7222222222226</v>
      </c>
      <c r="D32" s="313" t="s">
        <v>88</v>
      </c>
      <c r="E32" s="314"/>
      <c r="F32" s="195">
        <f>SUM(F22:F30)</f>
        <v>885.4283333333334</v>
      </c>
      <c r="G32" s="83">
        <f>F32/C32</f>
        <v>0.3045092569594375</v>
      </c>
      <c r="N32" s="118">
        <v>0</v>
      </c>
      <c r="O32" s="139">
        <f>W24*0.6</f>
        <v>4984.2</v>
      </c>
      <c r="P32" s="119">
        <f>O32-N32</f>
        <v>4984.2</v>
      </c>
      <c r="Q32" s="120">
        <v>0.031</v>
      </c>
      <c r="R32" s="121">
        <f>IF(P23&lt;P32,P23*W30,P32*W30)</f>
        <v>154.5102</v>
      </c>
      <c r="S32" s="8"/>
      <c r="T32" s="8"/>
      <c r="U32" s="122"/>
      <c r="V32" s="123" t="s">
        <v>42</v>
      </c>
      <c r="W32" s="124" t="s">
        <v>43</v>
      </c>
    </row>
    <row r="33" spans="1:23" ht="24.75" thickBot="1">
      <c r="A33" s="16"/>
      <c r="B33" s="19"/>
      <c r="C33" s="84"/>
      <c r="D33" s="22"/>
      <c r="E33" s="22"/>
      <c r="F33" s="205"/>
      <c r="G33" s="78"/>
      <c r="N33" s="125">
        <f>O32+1</f>
        <v>4985.2</v>
      </c>
      <c r="O33" s="13">
        <f>W25</f>
        <v>73422</v>
      </c>
      <c r="P33" s="13">
        <f>O33-N33</f>
        <v>68436.8</v>
      </c>
      <c r="Q33" s="126">
        <v>0.048</v>
      </c>
      <c r="R33" s="127">
        <f>IF(P23&gt;O33,P33*W34,(P23-P32)*W34)</f>
        <v>850.79</v>
      </c>
      <c r="T33" s="1"/>
      <c r="U33" s="128" t="s">
        <v>44</v>
      </c>
      <c r="V33" s="129">
        <v>0.059</v>
      </c>
      <c r="W33" s="140">
        <v>0.07</v>
      </c>
    </row>
    <row r="34" spans="1:23" ht="24.75" thickBot="1">
      <c r="A34" s="26" t="s">
        <v>29</v>
      </c>
      <c r="B34" s="27"/>
      <c r="C34" s="27"/>
      <c r="D34" s="27"/>
      <c r="E34" s="28"/>
      <c r="F34" s="28"/>
      <c r="G34" s="29"/>
      <c r="N34" s="141"/>
      <c r="O34" s="142"/>
      <c r="P34" s="133" t="s">
        <v>0</v>
      </c>
      <c r="Q34" s="133"/>
      <c r="R34" s="143">
        <f>SUM(R32:R33)</f>
        <v>1005.3001999999999</v>
      </c>
      <c r="S34" s="1"/>
      <c r="T34" s="1"/>
      <c r="U34" s="136" t="s">
        <v>45</v>
      </c>
      <c r="V34" s="137" t="s">
        <v>46</v>
      </c>
      <c r="W34" s="138">
        <v>0.05</v>
      </c>
    </row>
    <row r="35" spans="1:20" ht="12.75">
      <c r="A35" s="30"/>
      <c r="B35" s="16"/>
      <c r="C35" s="16"/>
      <c r="D35" s="16"/>
      <c r="E35" s="18"/>
      <c r="F35" s="18"/>
      <c r="G35" s="31"/>
      <c r="N35" s="3"/>
      <c r="O35" s="3"/>
      <c r="P35" s="3"/>
      <c r="Q35" s="3"/>
      <c r="R35" s="11"/>
      <c r="S35" s="1"/>
      <c r="T35" s="1"/>
    </row>
    <row r="36" spans="1:20" ht="12.75">
      <c r="A36" s="32" t="s">
        <v>12</v>
      </c>
      <c r="B36" s="19" t="s">
        <v>30</v>
      </c>
      <c r="C36" s="19"/>
      <c r="D36" s="19"/>
      <c r="E36" s="22"/>
      <c r="F36" s="22"/>
      <c r="G36" s="33"/>
      <c r="N36" s="330" t="s">
        <v>48</v>
      </c>
      <c r="O36" s="330"/>
      <c r="P36" s="330"/>
      <c r="Q36" s="2"/>
      <c r="R36" s="144">
        <f>R30+R34</f>
        <v>2216.343</v>
      </c>
      <c r="S36" s="1"/>
      <c r="T36" s="1"/>
    </row>
    <row r="37" spans="1:20" ht="13.5" thickBot="1">
      <c r="A37" s="32"/>
      <c r="B37" s="19"/>
      <c r="C37" s="19"/>
      <c r="D37" s="19"/>
      <c r="E37" s="22"/>
      <c r="F37" s="22"/>
      <c r="G37" s="33"/>
      <c r="N37" s="190"/>
      <c r="O37" s="190"/>
      <c r="P37" s="190"/>
      <c r="Q37" s="2"/>
      <c r="R37" s="144"/>
      <c r="S37" s="1"/>
      <c r="T37" s="1"/>
    </row>
    <row r="38" spans="1:20" ht="13.5" thickBot="1">
      <c r="A38" s="34" t="s">
        <v>14</v>
      </c>
      <c r="B38" s="103" t="s">
        <v>15</v>
      </c>
      <c r="C38" s="104"/>
      <c r="D38" s="86">
        <f>MIN(B11,E8)</f>
        <v>17000</v>
      </c>
      <c r="E38" s="18"/>
      <c r="F38" s="18"/>
      <c r="G38" s="31"/>
      <c r="N38" s="190"/>
      <c r="O38" s="190"/>
      <c r="P38" s="190"/>
      <c r="Q38" s="2"/>
      <c r="R38" s="144"/>
      <c r="S38" s="1"/>
      <c r="T38" s="1"/>
    </row>
    <row r="39" spans="1:7" ht="13.5" thickBot="1">
      <c r="A39" s="30"/>
      <c r="B39" s="36"/>
      <c r="C39" s="18"/>
      <c r="D39" s="38"/>
      <c r="E39" s="18"/>
      <c r="F39" s="18"/>
      <c r="G39" s="31"/>
    </row>
    <row r="40" spans="1:7" ht="13.5" thickBot="1">
      <c r="A40" s="30"/>
      <c r="B40" s="87" t="s">
        <v>16</v>
      </c>
      <c r="C40" s="40" t="s">
        <v>17</v>
      </c>
      <c r="D40" s="40" t="s">
        <v>18</v>
      </c>
      <c r="E40" s="41" t="s">
        <v>19</v>
      </c>
      <c r="F40" s="42" t="s">
        <v>20</v>
      </c>
      <c r="G40" s="31"/>
    </row>
    <row r="41" spans="1:7" ht="13.5" thickBot="1">
      <c r="A41" s="88" t="s">
        <v>22</v>
      </c>
      <c r="B41" s="59" t="s">
        <v>21</v>
      </c>
      <c r="C41" s="60">
        <f>MIN(B8/12,8.33%*D19)</f>
        <v>995.8333333333334</v>
      </c>
      <c r="D41" s="61" t="s">
        <v>85</v>
      </c>
      <c r="E41" s="62">
        <v>0.25</v>
      </c>
      <c r="F41" s="193">
        <f>E41*C41</f>
        <v>248.95833333333334</v>
      </c>
      <c r="G41" s="31"/>
    </row>
    <row r="42" spans="1:7" ht="13.5" thickBot="1">
      <c r="A42" s="30"/>
      <c r="B42" s="16"/>
      <c r="C42" s="50"/>
      <c r="D42" s="16"/>
      <c r="E42" s="18"/>
      <c r="F42" s="58"/>
      <c r="G42" s="31"/>
    </row>
    <row r="43" spans="1:7" ht="13.5" thickBot="1">
      <c r="A43" s="201" t="s">
        <v>25</v>
      </c>
      <c r="B43" s="65" t="s">
        <v>26</v>
      </c>
      <c r="C43" s="66"/>
      <c r="D43" s="67">
        <f>D38</f>
        <v>17000</v>
      </c>
      <c r="E43" s="107"/>
      <c r="F43" s="108"/>
      <c r="G43" s="31"/>
    </row>
    <row r="44" spans="1:7" ht="12.75">
      <c r="A44" s="202"/>
      <c r="B44" s="68">
        <v>45</v>
      </c>
      <c r="C44" s="69">
        <f>MIN(D43*D44,5%*E8)</f>
        <v>850</v>
      </c>
      <c r="D44" s="70">
        <v>0.05</v>
      </c>
      <c r="E44" s="71">
        <v>0.35</v>
      </c>
      <c r="F44" s="194">
        <f>E44*C44</f>
        <v>297.5</v>
      </c>
      <c r="G44" s="31"/>
    </row>
    <row r="45" spans="1:7" ht="13.5" thickBot="1">
      <c r="A45" s="203"/>
      <c r="B45" s="72">
        <v>47</v>
      </c>
      <c r="C45" s="73">
        <f>MIN(D43*D45,11%*E8)</f>
        <v>1870</v>
      </c>
      <c r="D45" s="74">
        <f>IF(D11&lt;50,11%,11%*1.5)</f>
        <v>0.11</v>
      </c>
      <c r="E45" s="56">
        <f>G8</f>
        <v>0.34</v>
      </c>
      <c r="F45" s="192">
        <f>E45*C45</f>
        <v>635.8000000000001</v>
      </c>
      <c r="G45" s="31"/>
    </row>
    <row r="46" spans="1:20" ht="13.5" thickBot="1">
      <c r="A46" s="75"/>
      <c r="B46" s="76"/>
      <c r="C46" s="77"/>
      <c r="D46" s="78"/>
      <c r="E46" s="64"/>
      <c r="F46" s="199"/>
      <c r="G46" s="31"/>
      <c r="N46" s="3"/>
      <c r="O46" s="3"/>
      <c r="P46" s="2" t="s">
        <v>49</v>
      </c>
      <c r="Q46" s="2"/>
      <c r="R46" s="145">
        <f>R36/P23</f>
        <v>0.10074286363636363</v>
      </c>
      <c r="S46" s="8"/>
      <c r="T46" s="8"/>
    </row>
    <row r="47" spans="1:20" ht="13.5" thickBot="1">
      <c r="A47" s="80"/>
      <c r="B47" s="81" t="s">
        <v>28</v>
      </c>
      <c r="C47" s="82">
        <f>SUM(C41:C45)</f>
        <v>3715.8333333333335</v>
      </c>
      <c r="D47" s="313" t="s">
        <v>88</v>
      </c>
      <c r="E47" s="314"/>
      <c r="F47" s="200">
        <f>SUM(F41:F46)</f>
        <v>1182.2583333333334</v>
      </c>
      <c r="G47" s="83">
        <f>F47/C47</f>
        <v>0.31816775061673025</v>
      </c>
      <c r="N47" s="3"/>
      <c r="O47" s="3"/>
      <c r="P47" s="3"/>
      <c r="Q47" s="3"/>
      <c r="R47" s="3"/>
      <c r="S47" s="1"/>
      <c r="T47" s="1"/>
    </row>
    <row r="48" spans="1:20" ht="12.75">
      <c r="A48" s="16"/>
      <c r="B48" s="19"/>
      <c r="C48" s="84"/>
      <c r="D48" s="22"/>
      <c r="E48" s="22"/>
      <c r="F48" s="85"/>
      <c r="G48" s="78"/>
      <c r="N48" s="3"/>
      <c r="O48" s="3"/>
      <c r="P48" s="3"/>
      <c r="Q48" s="3"/>
      <c r="R48" s="3"/>
      <c r="S48" s="1"/>
      <c r="T48" s="1"/>
    </row>
    <row r="49" spans="3:20" ht="13.5" customHeight="1">
      <c r="C49" t="s">
        <v>31</v>
      </c>
      <c r="N49" s="3"/>
      <c r="O49" s="3"/>
      <c r="P49" s="3"/>
      <c r="Q49" s="3"/>
      <c r="R49" s="3"/>
      <c r="S49" s="1"/>
      <c r="T49" s="1"/>
    </row>
    <row r="50" spans="14:20" ht="13.5" thickBot="1">
      <c r="N50" s="331" t="s">
        <v>50</v>
      </c>
      <c r="O50" s="332"/>
      <c r="P50" s="332"/>
      <c r="Q50" s="332"/>
      <c r="R50" s="333"/>
      <c r="S50" s="8"/>
      <c r="T50" s="8"/>
    </row>
    <row r="51" spans="1:20" ht="12.75">
      <c r="A51" s="26" t="s">
        <v>32</v>
      </c>
      <c r="B51" s="27"/>
      <c r="C51" s="27"/>
      <c r="D51" s="27"/>
      <c r="E51" s="28"/>
      <c r="F51" s="28"/>
      <c r="G51" s="29"/>
      <c r="N51" s="13">
        <v>0</v>
      </c>
      <c r="O51" s="146">
        <f>W24*0.6</f>
        <v>4984.2</v>
      </c>
      <c r="P51" s="13">
        <f>O51-N51</f>
        <v>4984.2</v>
      </c>
      <c r="Q51" s="147">
        <v>0.014</v>
      </c>
      <c r="R51" s="147">
        <f>IF($P$23&lt;P51,$P$23*V29,P51*V29)</f>
        <v>171.9549</v>
      </c>
      <c r="S51" s="8"/>
      <c r="T51" s="8"/>
    </row>
    <row r="52" spans="1:18" ht="12.75">
      <c r="A52" s="30"/>
      <c r="B52" s="16"/>
      <c r="C52" s="16"/>
      <c r="D52" s="16"/>
      <c r="E52" s="18"/>
      <c r="F52" s="18"/>
      <c r="G52" s="31"/>
      <c r="N52" s="13">
        <v>3483</v>
      </c>
      <c r="O52" s="146">
        <v>36760</v>
      </c>
      <c r="P52" s="13">
        <f>O52-N52</f>
        <v>33277</v>
      </c>
      <c r="Q52" s="147">
        <v>0.0558</v>
      </c>
      <c r="R52" s="147">
        <f>IF($P$23&gt;O52,P52*V33,($P$23-P51)*V33)</f>
        <v>1003.9321999999999</v>
      </c>
    </row>
    <row r="53" spans="1:23" ht="12.75">
      <c r="A53" s="32" t="s">
        <v>12</v>
      </c>
      <c r="B53" s="19" t="s">
        <v>33</v>
      </c>
      <c r="C53" s="19"/>
      <c r="D53" s="19"/>
      <c r="E53" s="22"/>
      <c r="F53" s="22"/>
      <c r="G53" s="33"/>
      <c r="N53" s="148"/>
      <c r="O53" s="148"/>
      <c r="P53" s="12" t="s">
        <v>0</v>
      </c>
      <c r="Q53" s="149"/>
      <c r="R53" s="115">
        <f>SUM(R51:R52)</f>
        <v>1175.8871</v>
      </c>
      <c r="S53" s="7"/>
      <c r="T53" s="7"/>
      <c r="U53" s="7"/>
      <c r="V53" s="7"/>
      <c r="W53" s="7"/>
    </row>
    <row r="54" spans="1:7" ht="12.75">
      <c r="A54" s="32"/>
      <c r="B54" s="19"/>
      <c r="C54" s="19"/>
      <c r="D54" s="19"/>
      <c r="E54" s="22"/>
      <c r="F54" s="22"/>
      <c r="G54" s="33"/>
    </row>
    <row r="55" spans="1:7" ht="13.5" thickBot="1">
      <c r="A55" s="30"/>
      <c r="B55" s="16"/>
      <c r="C55" s="16"/>
      <c r="D55" s="16"/>
      <c r="E55" s="18"/>
      <c r="F55" s="18"/>
      <c r="G55" s="31"/>
    </row>
    <row r="56" spans="1:7" ht="12.75" customHeight="1" thickBot="1">
      <c r="A56" s="34" t="s">
        <v>14</v>
      </c>
      <c r="B56" s="103" t="s">
        <v>15</v>
      </c>
      <c r="C56" s="104"/>
      <c r="D56" s="86">
        <f>MIN(MAX((B11-D8),0),31400-D65)</f>
        <v>13500</v>
      </c>
      <c r="E56" s="18"/>
      <c r="F56" s="18"/>
      <c r="G56" s="31"/>
    </row>
    <row r="57" spans="1:7" ht="13.5" thickBot="1">
      <c r="A57" s="30"/>
      <c r="B57" s="18"/>
      <c r="C57" s="18"/>
      <c r="D57" s="38"/>
      <c r="E57" s="18"/>
      <c r="F57" s="18"/>
      <c r="G57" s="31"/>
    </row>
    <row r="58" spans="1:7" ht="13.5" thickBot="1">
      <c r="A58" s="30"/>
      <c r="B58" s="87" t="s">
        <v>16</v>
      </c>
      <c r="C58" s="40" t="s">
        <v>17</v>
      </c>
      <c r="D58" s="40" t="s">
        <v>18</v>
      </c>
      <c r="E58" s="41" t="s">
        <v>19</v>
      </c>
      <c r="F58" s="42" t="s">
        <v>20</v>
      </c>
      <c r="G58" s="31"/>
    </row>
    <row r="59" spans="1:7" ht="12.75">
      <c r="A59" s="43"/>
      <c r="B59" s="90" t="s">
        <v>21</v>
      </c>
      <c r="C59" s="45">
        <f>IF(B8/12-C61&gt;0,MIN((B8/12-C61),8.33%*D56),0)</f>
        <v>0</v>
      </c>
      <c r="D59" s="46">
        <f>IF(D56&lt;=0,0,C59/D56)</f>
        <v>0</v>
      </c>
      <c r="E59" s="47">
        <v>0.25</v>
      </c>
      <c r="F59" s="191">
        <f>E59*C59</f>
        <v>0</v>
      </c>
      <c r="G59" s="31"/>
    </row>
    <row r="60" spans="1:7" ht="12.75">
      <c r="A60" s="48" t="s">
        <v>22</v>
      </c>
      <c r="B60" s="49"/>
      <c r="C60" s="50"/>
      <c r="D60" s="16"/>
      <c r="E60" s="18"/>
      <c r="F60" s="51"/>
      <c r="G60" s="31"/>
    </row>
    <row r="61" spans="1:7" ht="13.5" thickBot="1">
      <c r="A61" s="52"/>
      <c r="B61" s="91" t="s">
        <v>23</v>
      </c>
      <c r="C61" s="54">
        <f>MIN(IF(B11&gt;=(B8/12)/7.5%,B8/12,B11*7.5%),7.5%*D56)</f>
        <v>995.8333333333334</v>
      </c>
      <c r="D61" s="55">
        <f>IF(D56&lt;=0,0,C61/D56)</f>
        <v>0.07376543209876543</v>
      </c>
      <c r="E61" s="56">
        <v>0.25</v>
      </c>
      <c r="F61" s="192">
        <f>E61*C61</f>
        <v>248.95833333333334</v>
      </c>
      <c r="G61" s="31"/>
    </row>
    <row r="62" spans="1:7" ht="13.5" thickBot="1">
      <c r="A62" s="30"/>
      <c r="B62" s="16"/>
      <c r="C62" s="50"/>
      <c r="D62" s="57"/>
      <c r="E62" s="36"/>
      <c r="F62" s="58"/>
      <c r="G62" s="31"/>
    </row>
    <row r="63" spans="1:7" ht="13.5" thickBot="1">
      <c r="A63" s="25" t="s">
        <v>24</v>
      </c>
      <c r="B63" s="59" t="s">
        <v>23</v>
      </c>
      <c r="C63" s="60">
        <f>MIN(MAX(5%*D56,MIN(7%*D8,7%*D56)),C61)</f>
        <v>675</v>
      </c>
      <c r="D63" s="92">
        <f>IF(D56&lt;=0,0,C63/D56)</f>
        <v>0.05</v>
      </c>
      <c r="E63" s="62">
        <v>0.35</v>
      </c>
      <c r="F63" s="193">
        <f>E63*C63</f>
        <v>236.24999999999997</v>
      </c>
      <c r="G63" s="31"/>
    </row>
    <row r="64" spans="1:7" ht="18.75" thickBot="1">
      <c r="A64" s="63"/>
      <c r="B64" s="16"/>
      <c r="C64" s="50"/>
      <c r="D64" s="16"/>
      <c r="E64" s="64"/>
      <c r="F64" s="58"/>
      <c r="G64" s="31"/>
    </row>
    <row r="65" spans="1:7" ht="12.75">
      <c r="A65" s="40" t="s">
        <v>25</v>
      </c>
      <c r="B65" s="93" t="s">
        <v>26</v>
      </c>
      <c r="C65" s="94"/>
      <c r="D65" s="95">
        <f>MIN(D8,(B11))</f>
        <v>8500</v>
      </c>
      <c r="E65" s="110"/>
      <c r="F65" s="108"/>
      <c r="G65" s="31"/>
    </row>
    <row r="66" spans="1:7" ht="12.75">
      <c r="A66" s="75"/>
      <c r="B66" s="96">
        <v>45</v>
      </c>
      <c r="C66" s="97">
        <f>MIN(D65*D66,5%*D8)</f>
        <v>425</v>
      </c>
      <c r="D66" s="98">
        <v>0.05</v>
      </c>
      <c r="E66" s="71">
        <v>0.35</v>
      </c>
      <c r="F66" s="194">
        <f>E66*C66</f>
        <v>148.75</v>
      </c>
      <c r="G66" s="31"/>
    </row>
    <row r="67" spans="1:7" ht="13.5" thickBot="1">
      <c r="A67" s="109"/>
      <c r="B67" s="72">
        <v>47</v>
      </c>
      <c r="C67" s="73">
        <f>MIN(D65*D67,11%*D8)</f>
        <v>935</v>
      </c>
      <c r="D67" s="74">
        <f>IF(D11&lt;50,11%,11%*1.5)</f>
        <v>0.11</v>
      </c>
      <c r="E67" s="56">
        <f>G8</f>
        <v>0.34</v>
      </c>
      <c r="F67" s="192">
        <f>E67*C67</f>
        <v>317.90000000000003</v>
      </c>
      <c r="G67" s="31"/>
    </row>
    <row r="68" spans="1:7" ht="13.5" thickBot="1">
      <c r="A68" s="75"/>
      <c r="B68" s="76"/>
      <c r="C68" s="77"/>
      <c r="D68" s="78"/>
      <c r="E68" s="64"/>
      <c r="F68" s="58"/>
      <c r="G68" s="31"/>
    </row>
    <row r="69" spans="1:7" ht="13.5" thickBot="1">
      <c r="A69" s="80"/>
      <c r="B69" s="81" t="s">
        <v>28</v>
      </c>
      <c r="C69" s="82">
        <f>SUM(C59:C67)</f>
        <v>3030.8333333333335</v>
      </c>
      <c r="D69" s="313" t="s">
        <v>88</v>
      </c>
      <c r="E69" s="314"/>
      <c r="F69" s="200">
        <f>SUM(F59:F68)</f>
        <v>951.8583333333333</v>
      </c>
      <c r="G69" s="83">
        <f>F69/C69</f>
        <v>0.31405828979928513</v>
      </c>
    </row>
    <row r="70" spans="1:7" ht="12.75">
      <c r="A70" s="16"/>
      <c r="B70" s="16"/>
      <c r="C70" s="16"/>
      <c r="D70" s="16"/>
      <c r="E70" s="18"/>
      <c r="F70" s="18"/>
      <c r="G70" s="15"/>
    </row>
    <row r="71" spans="1:7" ht="12.75">
      <c r="A71" s="15"/>
      <c r="B71" s="17"/>
      <c r="C71" s="210"/>
      <c r="E71" s="17"/>
      <c r="F71" s="211"/>
      <c r="G71" s="15"/>
    </row>
    <row r="72" spans="1:7" ht="12.75">
      <c r="A72" s="15"/>
      <c r="B72" s="16"/>
      <c r="C72" s="210"/>
      <c r="D72" s="17"/>
      <c r="E72" s="309" t="s">
        <v>34</v>
      </c>
      <c r="F72" s="309"/>
      <c r="G72" s="309"/>
    </row>
    <row r="73" spans="1:7" ht="12.75">
      <c r="A73" s="15"/>
      <c r="B73" s="16"/>
      <c r="C73" s="210"/>
      <c r="D73" s="17"/>
      <c r="E73" s="309" t="str">
        <f>I2</f>
        <v>ברק קרני</v>
      </c>
      <c r="F73" s="309"/>
      <c r="G73" s="309"/>
    </row>
    <row r="74" spans="1:7" ht="12.75">
      <c r="A74" s="15"/>
      <c r="B74" s="16"/>
      <c r="C74" s="210"/>
      <c r="D74" s="17"/>
      <c r="F74" s="211"/>
      <c r="G74" s="15"/>
    </row>
    <row r="75" spans="1:7" ht="12.75">
      <c r="A75" s="15"/>
      <c r="B75" s="15"/>
      <c r="C75" t="s">
        <v>82</v>
      </c>
      <c r="D75" s="15"/>
      <c r="E75" s="89"/>
      <c r="F75" s="89"/>
      <c r="G75" s="15"/>
    </row>
    <row r="76" ht="12.75" customHeight="1"/>
    <row r="83" ht="12.75" customHeight="1"/>
    <row r="93" spans="9:12" ht="12.75">
      <c r="I93" s="11"/>
      <c r="J93" s="11"/>
      <c r="K93" s="11"/>
      <c r="L93" s="212"/>
    </row>
    <row r="94" spans="9:12" ht="12.75">
      <c r="I94" s="11"/>
      <c r="J94" s="11"/>
      <c r="K94" s="11"/>
      <c r="L94" s="212"/>
    </row>
    <row r="95" spans="9:12" ht="12.75">
      <c r="I95" s="3"/>
      <c r="J95" s="3"/>
      <c r="K95" s="3"/>
      <c r="L95" s="213"/>
    </row>
    <row r="96" ht="12.75">
      <c r="L96" s="3"/>
    </row>
    <row r="99" spans="1:7" ht="12.75">
      <c r="A99" s="15"/>
      <c r="B99" s="15"/>
      <c r="C99" s="15"/>
      <c r="D99" s="15"/>
      <c r="E99" s="89"/>
      <c r="F99" s="89"/>
      <c r="G99" s="15"/>
    </row>
  </sheetData>
  <sheetProtection/>
  <mergeCells count="19">
    <mergeCell ref="I2:J2"/>
    <mergeCell ref="N36:P36"/>
    <mergeCell ref="N50:R50"/>
    <mergeCell ref="D32:E32"/>
    <mergeCell ref="N27:R27"/>
    <mergeCell ref="N23:O23"/>
    <mergeCell ref="U23:W23"/>
    <mergeCell ref="U24:V24"/>
    <mergeCell ref="U25:V25"/>
    <mergeCell ref="D69:E69"/>
    <mergeCell ref="U27:W27"/>
    <mergeCell ref="N31:R31"/>
    <mergeCell ref="U31:W31"/>
    <mergeCell ref="E72:G72"/>
    <mergeCell ref="E73:G73"/>
    <mergeCell ref="A5:B5"/>
    <mergeCell ref="A1:G1"/>
    <mergeCell ref="A2:G2"/>
    <mergeCell ref="D47:E47"/>
  </mergeCells>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56"/>
  <sheetViews>
    <sheetView rightToLeft="1" zoomScalePageLayoutView="0" workbookViewId="0" topLeftCell="B1">
      <selection activeCell="F13" sqref="F13"/>
    </sheetView>
  </sheetViews>
  <sheetFormatPr defaultColWidth="9.140625" defaultRowHeight="12.75"/>
  <cols>
    <col min="2" max="2" width="12.28125" style="0" bestFit="1" customWidth="1"/>
    <col min="3" max="3" width="17.8515625" style="0" customWidth="1"/>
    <col min="4" max="4" width="12.421875" style="0" bestFit="1" customWidth="1"/>
    <col min="5" max="5" width="23.421875" style="0" customWidth="1"/>
    <col min="6" max="6" width="29.00390625" style="0" customWidth="1"/>
    <col min="8" max="15" width="0" style="0" hidden="1" customWidth="1"/>
  </cols>
  <sheetData>
    <row r="1" spans="1:6" ht="18">
      <c r="A1" s="311" t="s">
        <v>111</v>
      </c>
      <c r="B1" s="311"/>
      <c r="C1" s="311"/>
      <c r="D1" s="311"/>
      <c r="E1" s="311"/>
      <c r="F1" s="311"/>
    </row>
    <row r="2" spans="1:6" ht="15.75">
      <c r="A2" s="312" t="s">
        <v>108</v>
      </c>
      <c r="B2" s="312"/>
      <c r="C2" s="312"/>
      <c r="D2" s="312"/>
      <c r="E2" s="312"/>
      <c r="F2" s="312"/>
    </row>
    <row r="3" spans="1:6" ht="18">
      <c r="A3" s="15"/>
      <c r="B3" s="24"/>
      <c r="C3" s="24"/>
      <c r="D3" s="24"/>
      <c r="E3" s="24"/>
      <c r="F3" s="153">
        <f ca="1">TODAY()</f>
        <v>43414</v>
      </c>
    </row>
    <row r="4" spans="1:6" ht="18">
      <c r="A4" s="15"/>
      <c r="B4" s="154" t="s">
        <v>53</v>
      </c>
      <c r="C4" s="24"/>
      <c r="D4" s="24"/>
      <c r="E4" s="24"/>
      <c r="F4" s="24"/>
    </row>
    <row r="5" spans="1:6" ht="18">
      <c r="A5" s="15"/>
      <c r="B5" s="378" t="s">
        <v>92</v>
      </c>
      <c r="C5" s="378"/>
      <c r="D5" s="24"/>
      <c r="E5" s="24"/>
      <c r="F5" s="4"/>
    </row>
    <row r="6" spans="1:8" ht="18">
      <c r="A6" s="89"/>
      <c r="B6" s="89"/>
      <c r="C6" s="24"/>
      <c r="D6" s="24"/>
      <c r="E6" s="24"/>
      <c r="F6" s="24"/>
      <c r="H6" s="151" t="s">
        <v>52</v>
      </c>
    </row>
    <row r="7" spans="1:15" ht="15">
      <c r="A7" s="4"/>
      <c r="B7" s="379" t="s">
        <v>54</v>
      </c>
      <c r="C7" s="379"/>
      <c r="D7" s="379"/>
      <c r="E7" s="379"/>
      <c r="F7" s="379"/>
      <c r="H7" s="344" t="s">
        <v>92</v>
      </c>
      <c r="I7" s="345"/>
      <c r="J7" s="345"/>
      <c r="K7" s="345"/>
      <c r="L7" s="345"/>
      <c r="M7" s="345"/>
      <c r="N7" s="345"/>
      <c r="O7" s="346"/>
    </row>
    <row r="8" spans="1:6" ht="18">
      <c r="A8" s="89"/>
      <c r="B8" s="89"/>
      <c r="C8" s="24"/>
      <c r="D8" s="24"/>
      <c r="E8" s="24"/>
      <c r="F8" s="24"/>
    </row>
    <row r="9" spans="1:6" ht="18.75" thickBot="1">
      <c r="A9" s="15"/>
      <c r="B9" s="24"/>
      <c r="C9" s="24"/>
      <c r="D9" s="24"/>
      <c r="E9" s="24"/>
      <c r="F9" s="24"/>
    </row>
    <row r="10" spans="1:15" ht="15.75" thickBot="1">
      <c r="A10" s="15"/>
      <c r="B10" s="347" t="s">
        <v>90</v>
      </c>
      <c r="C10" s="348"/>
      <c r="D10" s="349"/>
      <c r="E10" s="4"/>
      <c r="F10" s="155"/>
      <c r="M10" s="3"/>
      <c r="N10" s="3"/>
      <c r="O10" s="3"/>
    </row>
    <row r="11" spans="1:15" ht="15.75" thickBot="1">
      <c r="A11" s="15"/>
      <c r="B11" s="376" t="s">
        <v>55</v>
      </c>
      <c r="C11" s="377"/>
      <c r="D11" s="232">
        <f>O7</f>
        <v>0</v>
      </c>
      <c r="E11" s="155"/>
      <c r="F11" s="155"/>
      <c r="H11" s="4"/>
      <c r="I11" s="12" t="s">
        <v>35</v>
      </c>
      <c r="J11" s="111" t="s">
        <v>36</v>
      </c>
      <c r="K11" s="112">
        <v>2009</v>
      </c>
      <c r="L11" s="4"/>
      <c r="M11" s="347" t="s">
        <v>90</v>
      </c>
      <c r="N11" s="348"/>
      <c r="O11" s="349"/>
    </row>
    <row r="12" spans="1:15" ht="12.75">
      <c r="A12" s="15"/>
      <c r="B12" s="376" t="s">
        <v>56</v>
      </c>
      <c r="C12" s="377"/>
      <c r="D12" s="233">
        <f>O8</f>
        <v>0</v>
      </c>
      <c r="E12" s="155"/>
      <c r="F12" s="155"/>
      <c r="H12" s="6"/>
      <c r="I12" s="230">
        <v>0</v>
      </c>
      <c r="J12" s="111">
        <v>52680</v>
      </c>
      <c r="K12" s="113">
        <v>0.1</v>
      </c>
      <c r="L12" s="4"/>
      <c r="M12" s="350" t="s">
        <v>55</v>
      </c>
      <c r="N12" s="351"/>
      <c r="O12" s="214">
        <v>8015</v>
      </c>
    </row>
    <row r="13" spans="1:15" ht="12.75">
      <c r="A13" s="15"/>
      <c r="B13" s="376" t="s">
        <v>81</v>
      </c>
      <c r="C13" s="377"/>
      <c r="D13" s="233">
        <f>O9</f>
        <v>0</v>
      </c>
      <c r="E13" s="155"/>
      <c r="F13" s="155"/>
      <c r="H13" s="6"/>
      <c r="I13" s="230">
        <f>J12+1</f>
        <v>52681</v>
      </c>
      <c r="J13" s="111">
        <v>93720</v>
      </c>
      <c r="K13" s="113">
        <v>0.15</v>
      </c>
      <c r="L13" s="4"/>
      <c r="M13" s="339" t="s">
        <v>56</v>
      </c>
      <c r="N13" s="340"/>
      <c r="O13" s="51">
        <f>N19/12</f>
        <v>16200</v>
      </c>
    </row>
    <row r="14" spans="1:15" ht="12.75">
      <c r="A14" s="15"/>
      <c r="B14" s="354" t="s">
        <v>87</v>
      </c>
      <c r="C14" s="355"/>
      <c r="D14" s="233">
        <f>O10</f>
        <v>0</v>
      </c>
      <c r="E14" s="155"/>
      <c r="F14" s="155"/>
      <c r="H14" s="3"/>
      <c r="I14" s="230">
        <f>J13+1</f>
        <v>93721</v>
      </c>
      <c r="J14" s="111">
        <v>140640</v>
      </c>
      <c r="K14" s="113">
        <v>0.23</v>
      </c>
      <c r="M14" s="339" t="s">
        <v>81</v>
      </c>
      <c r="N14" s="340"/>
      <c r="O14" s="51">
        <f>16%*O13*12</f>
        <v>31104</v>
      </c>
    </row>
    <row r="15" spans="1:15" ht="13.5" thickBot="1">
      <c r="A15" s="15"/>
      <c r="B15" s="356" t="s">
        <v>99</v>
      </c>
      <c r="C15" s="357"/>
      <c r="D15" s="234">
        <f>N19</f>
        <v>194400</v>
      </c>
      <c r="E15" s="4"/>
      <c r="F15" s="155"/>
      <c r="H15" s="3"/>
      <c r="I15" s="230">
        <f>J14+1</f>
        <v>140641</v>
      </c>
      <c r="J15" s="111">
        <v>202080</v>
      </c>
      <c r="K15" s="113">
        <v>0.3</v>
      </c>
      <c r="M15" s="341" t="s">
        <v>87</v>
      </c>
      <c r="N15" s="342"/>
      <c r="O15" s="156">
        <f>243000/12</f>
        <v>20250</v>
      </c>
    </row>
    <row r="16" spans="1:15" ht="13.5" thickBot="1">
      <c r="A16" s="15"/>
      <c r="B16" s="15"/>
      <c r="C16" s="15"/>
      <c r="D16" s="102"/>
      <c r="E16" s="58"/>
      <c r="F16" s="155"/>
      <c r="H16" s="3"/>
      <c r="I16" s="230">
        <f>J15+1</f>
        <v>202081</v>
      </c>
      <c r="J16" s="111">
        <v>435120</v>
      </c>
      <c r="K16" s="113">
        <v>0.34</v>
      </c>
      <c r="M16" s="3"/>
      <c r="N16" s="3"/>
      <c r="O16" s="209"/>
    </row>
    <row r="17" spans="1:15" ht="16.5" thickBot="1">
      <c r="A17" s="15"/>
      <c r="B17" s="358" t="s">
        <v>57</v>
      </c>
      <c r="C17" s="358"/>
      <c r="D17" s="358"/>
      <c r="E17" s="4"/>
      <c r="F17" s="223"/>
      <c r="H17" s="3"/>
      <c r="I17" s="230">
        <f>J16+1</f>
        <v>435121</v>
      </c>
      <c r="J17" s="111">
        <v>999999</v>
      </c>
      <c r="K17" s="113">
        <v>0.46</v>
      </c>
      <c r="M17" s="225" t="s">
        <v>97</v>
      </c>
      <c r="N17" s="226">
        <v>2010</v>
      </c>
      <c r="O17" s="209"/>
    </row>
    <row r="18" spans="1:15" ht="16.5" thickBot="1">
      <c r="A18" s="15"/>
      <c r="B18" s="368" t="s">
        <v>58</v>
      </c>
      <c r="C18" s="369"/>
      <c r="D18" s="215">
        <v>37</v>
      </c>
      <c r="E18" s="223"/>
      <c r="F18" s="223"/>
      <c r="M18" s="224"/>
      <c r="N18" s="224"/>
      <c r="O18" s="209"/>
    </row>
    <row r="19" spans="1:15" ht="16.5" thickBot="1">
      <c r="A19" s="15"/>
      <c r="B19" s="368" t="s">
        <v>59</v>
      </c>
      <c r="C19" s="369"/>
      <c r="D19" s="216">
        <v>20000</v>
      </c>
      <c r="E19" s="223"/>
      <c r="F19" s="223"/>
      <c r="M19" s="231" t="s">
        <v>94</v>
      </c>
      <c r="N19" s="12">
        <v>194400</v>
      </c>
      <c r="O19" s="3"/>
    </row>
    <row r="20" spans="1:15" ht="16.5" thickBot="1">
      <c r="A20" s="15"/>
      <c r="B20" s="368" t="s">
        <v>60</v>
      </c>
      <c r="C20" s="369"/>
      <c r="D20" s="158">
        <f>VLOOKUP(D19,I20:K26,3)</f>
        <v>0.15</v>
      </c>
      <c r="E20" s="4"/>
      <c r="F20" s="223"/>
      <c r="M20" s="231"/>
      <c r="N20" s="12"/>
      <c r="O20" s="3"/>
    </row>
    <row r="21" spans="1:15" ht="13.5" thickBot="1">
      <c r="A21" s="15"/>
      <c r="B21" s="15"/>
      <c r="C21" s="15"/>
      <c r="D21" s="15"/>
      <c r="E21" s="15"/>
      <c r="F21" s="89"/>
      <c r="M21" s="231"/>
      <c r="N21" s="12"/>
      <c r="O21" s="3"/>
    </row>
    <row r="22" spans="1:14" ht="16.5" thickBot="1">
      <c r="A22" s="15"/>
      <c r="B22" s="370" t="s">
        <v>105</v>
      </c>
      <c r="C22" s="371"/>
      <c r="D22" s="371"/>
      <c r="E22" s="372"/>
      <c r="F22" s="159">
        <f>MIN(D19,D12)</f>
        <v>0</v>
      </c>
      <c r="M22" s="12" t="s">
        <v>96</v>
      </c>
      <c r="N22" s="12">
        <v>243000</v>
      </c>
    </row>
    <row r="23" spans="2:14" ht="16.5" thickBot="1">
      <c r="B23" s="235"/>
      <c r="C23" s="235"/>
      <c r="D23" s="235"/>
      <c r="E23" s="235"/>
      <c r="F23" s="236"/>
      <c r="M23" s="12"/>
      <c r="N23" s="12"/>
    </row>
    <row r="24" spans="1:14" ht="15.75" thickBot="1">
      <c r="A24" s="15"/>
      <c r="B24" s="373" t="s">
        <v>106</v>
      </c>
      <c r="C24" s="374"/>
      <c r="D24" s="374"/>
      <c r="E24" s="374"/>
      <c r="F24" s="375"/>
      <c r="M24" s="12" t="s">
        <v>98</v>
      </c>
      <c r="N24" s="12">
        <f>N22*7%</f>
        <v>17010</v>
      </c>
    </row>
    <row r="25" spans="1:11" ht="12.75">
      <c r="A25" s="16"/>
      <c r="B25" s="250" t="s">
        <v>62</v>
      </c>
      <c r="C25" s="251" t="s">
        <v>93</v>
      </c>
      <c r="D25" s="251" t="s">
        <v>20</v>
      </c>
      <c r="E25" s="251" t="s">
        <v>100</v>
      </c>
      <c r="F25" s="252" t="s">
        <v>95</v>
      </c>
      <c r="I25" s="114">
        <f aca="true" t="shared" si="0" ref="I25:J27">I12/12</f>
        <v>0</v>
      </c>
      <c r="J25" s="114">
        <f t="shared" si="0"/>
        <v>4390</v>
      </c>
      <c r="K25" s="113">
        <v>0.1</v>
      </c>
    </row>
    <row r="26" spans="1:11" ht="12.75">
      <c r="A26" s="15"/>
      <c r="B26" s="239">
        <v>45</v>
      </c>
      <c r="C26" s="228">
        <v>0.05</v>
      </c>
      <c r="D26" s="228">
        <v>0.35</v>
      </c>
      <c r="E26" s="259">
        <f>N14*C26</f>
        <v>0</v>
      </c>
      <c r="F26" s="262">
        <f>MIN(E26*D26,C26*F22)*D26*12</f>
        <v>0</v>
      </c>
      <c r="I26" s="114">
        <f t="shared" si="0"/>
        <v>4390.083333333333</v>
      </c>
      <c r="J26" s="114">
        <f t="shared" si="0"/>
        <v>7810</v>
      </c>
      <c r="K26" s="113">
        <v>0.15</v>
      </c>
    </row>
    <row r="27" spans="2:11" ht="12.75">
      <c r="B27" s="237">
        <v>47</v>
      </c>
      <c r="C27" s="227">
        <v>0.11</v>
      </c>
      <c r="D27" s="228">
        <f>D20</f>
        <v>0.15</v>
      </c>
      <c r="E27" s="260">
        <f>N14*C27</f>
        <v>0</v>
      </c>
      <c r="F27" s="262">
        <f>MIN(E27*D27,C27*F22)*D27*12</f>
        <v>0</v>
      </c>
      <c r="I27" s="114">
        <f t="shared" si="0"/>
        <v>7810.083333333333</v>
      </c>
      <c r="J27" s="114">
        <f t="shared" si="0"/>
        <v>11720</v>
      </c>
      <c r="K27" s="113">
        <v>0.23</v>
      </c>
    </row>
    <row r="28" spans="1:11" ht="13.5" thickBot="1">
      <c r="A28" s="18"/>
      <c r="B28" s="242" t="s">
        <v>101</v>
      </c>
      <c r="C28" s="229">
        <v>0.16</v>
      </c>
      <c r="D28" s="238"/>
      <c r="E28" s="261">
        <f>N14*C28</f>
        <v>0</v>
      </c>
      <c r="F28" s="249">
        <f>SUM(F26:F27)</f>
        <v>0</v>
      </c>
      <c r="I28" s="114"/>
      <c r="J28" s="114"/>
      <c r="K28" s="113"/>
    </row>
    <row r="29" spans="1:11" ht="13.5" thickBot="1">
      <c r="A29" s="18"/>
      <c r="B29" s="4"/>
      <c r="C29" s="4"/>
      <c r="D29" s="4"/>
      <c r="E29" s="4"/>
      <c r="F29" s="182"/>
      <c r="I29" s="114">
        <f aca="true" t="shared" si="1" ref="I29:J31">I15/12</f>
        <v>11720.083333333334</v>
      </c>
      <c r="J29" s="114">
        <f t="shared" si="1"/>
        <v>16840</v>
      </c>
      <c r="K29" s="113">
        <v>0.3</v>
      </c>
    </row>
    <row r="30" spans="1:15" ht="15.75" thickBot="1">
      <c r="A30" s="16"/>
      <c r="B30" s="359" t="s">
        <v>78</v>
      </c>
      <c r="C30" s="360"/>
      <c r="D30" s="360"/>
      <c r="E30" s="360"/>
      <c r="F30" s="361"/>
      <c r="H30" s="6"/>
      <c r="I30" s="114">
        <f t="shared" si="1"/>
        <v>16840.083333333332</v>
      </c>
      <c r="J30" s="114">
        <f t="shared" si="1"/>
        <v>36260</v>
      </c>
      <c r="K30" s="113">
        <v>0.34</v>
      </c>
      <c r="L30" s="6"/>
      <c r="M30" s="6"/>
      <c r="N30" s="6"/>
      <c r="O30" s="6"/>
    </row>
    <row r="31" spans="1:11" ht="12.75">
      <c r="A31" s="15"/>
      <c r="B31" s="160" t="s">
        <v>62</v>
      </c>
      <c r="C31" s="161" t="s">
        <v>103</v>
      </c>
      <c r="D31" s="162" t="s">
        <v>20</v>
      </c>
      <c r="E31" s="163" t="s">
        <v>63</v>
      </c>
      <c r="F31" s="37" t="s">
        <v>102</v>
      </c>
      <c r="I31" s="114">
        <f t="shared" si="1"/>
        <v>36260.083333333336</v>
      </c>
      <c r="J31" s="114">
        <f t="shared" si="1"/>
        <v>83333.25</v>
      </c>
      <c r="K31" s="113">
        <v>0.46</v>
      </c>
    </row>
    <row r="32" spans="1:6" ht="12.75">
      <c r="A32" s="15"/>
      <c r="B32" s="240">
        <v>45</v>
      </c>
      <c r="C32" s="164">
        <v>0.05</v>
      </c>
      <c r="D32" s="228">
        <v>0.35</v>
      </c>
      <c r="E32" s="217">
        <f>MIN(F22*C32,5%*D12)</f>
        <v>0</v>
      </c>
      <c r="F32" s="220">
        <f>E32*D32</f>
        <v>0</v>
      </c>
    </row>
    <row r="33" spans="1:6" ht="13.5" thickBot="1">
      <c r="A33" s="15"/>
      <c r="B33" s="241">
        <v>47</v>
      </c>
      <c r="C33" s="166">
        <f>IF(D18&lt;=50,11%,11%*1.5)</f>
        <v>0.11</v>
      </c>
      <c r="D33" s="243">
        <f>D20</f>
        <v>0.15</v>
      </c>
      <c r="E33" s="218">
        <f>MIN(F22*C33,11%*D12)</f>
        <v>0</v>
      </c>
      <c r="F33" s="221">
        <f>E33*D33</f>
        <v>0</v>
      </c>
    </row>
    <row r="34" spans="1:6" ht="13.5" thickBot="1">
      <c r="A34" s="76"/>
      <c r="B34" s="77"/>
      <c r="C34" s="78"/>
      <c r="D34" s="64"/>
      <c r="E34" s="58"/>
      <c r="F34" s="16"/>
    </row>
    <row r="35" spans="1:12" ht="15.75" thickBot="1">
      <c r="A35" s="76"/>
      <c r="B35" s="362" t="s">
        <v>80</v>
      </c>
      <c r="C35" s="363"/>
      <c r="D35" s="363"/>
      <c r="E35" s="363"/>
      <c r="F35" s="364"/>
      <c r="J35" s="10" t="s">
        <v>61</v>
      </c>
      <c r="K35" s="8">
        <f>F27</f>
        <v>0</v>
      </c>
      <c r="L35" s="3"/>
    </row>
    <row r="36" spans="1:12" ht="12.75">
      <c r="A36" s="76"/>
      <c r="B36" s="244" t="s">
        <v>62</v>
      </c>
      <c r="C36" s="245" t="s">
        <v>103</v>
      </c>
      <c r="D36" s="246" t="s">
        <v>20</v>
      </c>
      <c r="E36" s="247" t="s">
        <v>63</v>
      </c>
      <c r="F36" s="248" t="s">
        <v>102</v>
      </c>
      <c r="I36" s="334" t="s">
        <v>83</v>
      </c>
      <c r="J36" s="343"/>
      <c r="K36" s="335"/>
      <c r="L36" s="3"/>
    </row>
    <row r="37" spans="1:12" ht="13.5" thickBot="1">
      <c r="A37" s="76"/>
      <c r="B37" s="241" t="s">
        <v>104</v>
      </c>
      <c r="C37" s="243">
        <v>0.07</v>
      </c>
      <c r="D37" s="166">
        <f>D20</f>
        <v>0.15</v>
      </c>
      <c r="E37" s="218">
        <f>IF(D19&lt;(D14),D19*C37,D14*C37)</f>
        <v>0</v>
      </c>
      <c r="F37" s="221">
        <f>E37*4.5/7*D37</f>
        <v>0</v>
      </c>
      <c r="I37" s="334" t="s">
        <v>64</v>
      </c>
      <c r="J37" s="335"/>
      <c r="K37" s="13">
        <v>7928</v>
      </c>
      <c r="L37" s="165"/>
    </row>
    <row r="38" spans="1:12" ht="13.5" thickBot="1">
      <c r="A38" s="16"/>
      <c r="B38" s="16"/>
      <c r="C38" s="16"/>
      <c r="D38" s="18"/>
      <c r="E38" s="58"/>
      <c r="F38" s="16"/>
      <c r="I38" s="334" t="s">
        <v>65</v>
      </c>
      <c r="J38" s="335"/>
      <c r="K38" s="13">
        <v>38415</v>
      </c>
      <c r="L38" s="3"/>
    </row>
    <row r="39" spans="1:12" ht="14.25">
      <c r="A39" s="172"/>
      <c r="B39" s="172"/>
      <c r="C39" s="172"/>
      <c r="D39" s="172"/>
      <c r="E39" s="365" t="s">
        <v>66</v>
      </c>
      <c r="F39" s="366"/>
      <c r="I39" s="12" t="s">
        <v>79</v>
      </c>
      <c r="J39" s="12"/>
      <c r="K39" s="13">
        <v>234000</v>
      </c>
      <c r="L39" s="3"/>
    </row>
    <row r="40" spans="1:15" ht="14.25">
      <c r="A40" s="172"/>
      <c r="B40" s="172"/>
      <c r="C40" s="172"/>
      <c r="D40" s="172"/>
      <c r="E40" s="168" t="s">
        <v>27</v>
      </c>
      <c r="F40" s="169" t="s">
        <v>102</v>
      </c>
      <c r="H40" s="3"/>
      <c r="I40" s="3"/>
      <c r="J40" s="3"/>
      <c r="K40" s="3"/>
      <c r="L40" s="3"/>
      <c r="M40" s="3"/>
      <c r="N40" s="3"/>
      <c r="O40" s="3"/>
    </row>
    <row r="41" spans="1:12" ht="24.75" thickBot="1">
      <c r="A41" s="16"/>
      <c r="B41" s="16"/>
      <c r="C41" s="16"/>
      <c r="D41" s="16"/>
      <c r="E41" s="79">
        <f>L51</f>
        <v>0</v>
      </c>
      <c r="F41" s="221">
        <f>(E33+(E37*4.5/7))*E41</f>
        <v>0</v>
      </c>
      <c r="J41" s="170" t="s">
        <v>67</v>
      </c>
      <c r="K41" s="170" t="s">
        <v>68</v>
      </c>
      <c r="L41" s="3"/>
    </row>
    <row r="42" spans="1:12" ht="13.5" thickBot="1">
      <c r="A42" s="16"/>
      <c r="B42" s="184"/>
      <c r="C42" s="185"/>
      <c r="D42" s="186"/>
      <c r="E42" s="64"/>
      <c r="F42" s="58"/>
      <c r="I42" s="123"/>
      <c r="J42" s="337" t="s">
        <v>51</v>
      </c>
      <c r="K42" s="338"/>
      <c r="L42" s="3"/>
    </row>
    <row r="43" spans="1:12" ht="24.75" thickBot="1">
      <c r="A43" s="172"/>
      <c r="B43" s="173" t="s">
        <v>69</v>
      </c>
      <c r="C43" s="222">
        <f>E32+E33+E37</f>
        <v>0</v>
      </c>
      <c r="D43" s="367" t="s">
        <v>70</v>
      </c>
      <c r="E43" s="367"/>
      <c r="F43" s="219">
        <f>F32+F33+F37+F41</f>
        <v>0</v>
      </c>
      <c r="I43" s="171" t="s">
        <v>44</v>
      </c>
      <c r="J43" s="129">
        <v>0.0672</v>
      </c>
      <c r="K43" s="129">
        <v>0.1123</v>
      </c>
      <c r="L43" s="3"/>
    </row>
    <row r="44" spans="1:15" ht="24.75" thickBot="1">
      <c r="A44" s="172"/>
      <c r="B44" s="175"/>
      <c r="C44" s="176"/>
      <c r="D44" s="177"/>
      <c r="E44" s="178" t="s">
        <v>71</v>
      </c>
      <c r="F44" s="179" t="e">
        <f>F43/C43</f>
        <v>#DIV/0!</v>
      </c>
      <c r="H44" s="174"/>
      <c r="I44" s="171" t="s">
        <v>45</v>
      </c>
      <c r="J44" s="129">
        <v>0.031</v>
      </c>
      <c r="K44" s="129">
        <v>0.05</v>
      </c>
      <c r="L44" s="3"/>
      <c r="M44" s="174"/>
      <c r="N44" s="174"/>
      <c r="O44" s="174"/>
    </row>
    <row r="45" spans="1:15" ht="14.25">
      <c r="A45" s="16"/>
      <c r="B45" s="16"/>
      <c r="C45" s="16"/>
      <c r="D45" s="16"/>
      <c r="E45" s="16"/>
      <c r="F45" s="18"/>
      <c r="H45" s="174"/>
      <c r="I45" s="3"/>
      <c r="J45" s="3"/>
      <c r="K45" s="3"/>
      <c r="L45" s="3"/>
      <c r="M45" s="174"/>
      <c r="N45" s="174"/>
      <c r="O45" s="174"/>
    </row>
    <row r="46" spans="1:15" ht="15.75">
      <c r="A46" s="15"/>
      <c r="B46" s="16"/>
      <c r="C46" s="16"/>
      <c r="D46" s="258"/>
      <c r="E46" s="258"/>
      <c r="F46" s="258"/>
      <c r="H46" s="3"/>
      <c r="I46" s="331" t="s">
        <v>72</v>
      </c>
      <c r="J46" s="332"/>
      <c r="K46" s="332"/>
      <c r="L46" s="333"/>
      <c r="M46" s="3"/>
      <c r="N46" s="3"/>
      <c r="O46" s="3"/>
    </row>
    <row r="47" spans="1:15" ht="15.75">
      <c r="A47" s="15"/>
      <c r="B47" s="16"/>
      <c r="C47" s="16"/>
      <c r="D47" s="99"/>
      <c r="E47" s="99"/>
      <c r="F47" s="101"/>
      <c r="H47" s="3"/>
      <c r="I47" s="13">
        <v>0</v>
      </c>
      <c r="J47" s="13">
        <f>K37*0.6</f>
        <v>4756.8</v>
      </c>
      <c r="K47" s="13">
        <f>J47-I47</f>
        <v>4756.8</v>
      </c>
      <c r="L47" s="147">
        <f>IF(K35&lt;K47,K35*J43,K47*J43)</f>
        <v>0</v>
      </c>
      <c r="M47" s="3"/>
      <c r="N47" s="3"/>
      <c r="O47" s="3"/>
    </row>
    <row r="48" spans="1:12" ht="15.75">
      <c r="A48" s="15"/>
      <c r="B48" s="16"/>
      <c r="C48" s="16"/>
      <c r="D48" s="99"/>
      <c r="E48" s="352" t="s">
        <v>110</v>
      </c>
      <c r="F48" s="352"/>
      <c r="I48" s="13">
        <f>J47+1</f>
        <v>4757.8</v>
      </c>
      <c r="J48" s="13">
        <f>K38</f>
        <v>38415</v>
      </c>
      <c r="K48" s="13">
        <f>J48-I48</f>
        <v>33657.2</v>
      </c>
      <c r="L48" s="147">
        <f>IF(K35&gt;J48,K48*K43,(K35-I48)*K43)</f>
        <v>-534.30094</v>
      </c>
    </row>
    <row r="49" spans="1:12" ht="15.75">
      <c r="A49" s="257"/>
      <c r="B49" s="353" t="s">
        <v>109</v>
      </c>
      <c r="C49" s="353"/>
      <c r="D49" s="99"/>
      <c r="E49" s="352">
        <f>H2</f>
        <v>0</v>
      </c>
      <c r="F49" s="352"/>
      <c r="K49" s="12" t="s">
        <v>0</v>
      </c>
      <c r="L49" s="180">
        <f>SUM(L47:L48)</f>
        <v>-534.30094</v>
      </c>
    </row>
    <row r="50" spans="1:12" ht="15.75">
      <c r="A50" s="15"/>
      <c r="B50" s="16"/>
      <c r="C50" s="16"/>
      <c r="D50" s="99"/>
      <c r="E50" s="99"/>
      <c r="F50" s="100"/>
      <c r="I50" s="331" t="s">
        <v>73</v>
      </c>
      <c r="J50" s="332"/>
      <c r="K50" s="332"/>
      <c r="L50" s="333"/>
    </row>
    <row r="51" spans="1:12" ht="15.75">
      <c r="A51" s="15"/>
      <c r="B51" s="16"/>
      <c r="C51" s="16"/>
      <c r="D51" s="99"/>
      <c r="E51" s="99"/>
      <c r="F51" s="100"/>
      <c r="I51" s="13">
        <v>0</v>
      </c>
      <c r="J51" s="146">
        <f>K37*0.6</f>
        <v>4756.8</v>
      </c>
      <c r="K51" s="13">
        <f>J51-I51</f>
        <v>4756.8</v>
      </c>
      <c r="L51" s="147">
        <f>IF(K35&lt;K51,K35*J44,K51*J44)</f>
        <v>0</v>
      </c>
    </row>
    <row r="52" spans="1:12" ht="15.75">
      <c r="A52" s="312"/>
      <c r="B52" s="312"/>
      <c r="C52" s="312"/>
      <c r="D52" s="312"/>
      <c r="E52" s="312"/>
      <c r="F52" s="312"/>
      <c r="I52" s="13">
        <f>J51+1</f>
        <v>4757.8</v>
      </c>
      <c r="J52" s="146">
        <f>K38</f>
        <v>38415</v>
      </c>
      <c r="K52" s="13">
        <f>J52-I52</f>
        <v>33657.2</v>
      </c>
      <c r="L52" s="147">
        <f>IF(K35&gt;J52,K52*K44,(K35-I52)*K44)</f>
        <v>-237.89000000000001</v>
      </c>
    </row>
    <row r="53" spans="1:12" ht="12.75">
      <c r="A53" s="15"/>
      <c r="B53" s="16"/>
      <c r="C53" s="16"/>
      <c r="D53" s="16"/>
      <c r="E53" s="16"/>
      <c r="F53" s="64"/>
      <c r="K53" s="12" t="s">
        <v>0</v>
      </c>
      <c r="L53" s="115">
        <f>SUM(L51:L52)</f>
        <v>-237.89000000000001</v>
      </c>
    </row>
    <row r="54" spans="1:12" ht="12.75">
      <c r="A54" s="4"/>
      <c r="B54" s="4"/>
      <c r="C54" s="4"/>
      <c r="D54" s="4"/>
      <c r="E54" s="4"/>
      <c r="F54" s="182"/>
      <c r="L54" s="3"/>
    </row>
    <row r="55" spans="9:12" ht="12.75">
      <c r="I55" s="336" t="s">
        <v>74</v>
      </c>
      <c r="J55" s="336"/>
      <c r="K55" s="336"/>
      <c r="L55" s="9">
        <f>L49+L53</f>
        <v>-772.19094</v>
      </c>
    </row>
    <row r="56" ht="12.75">
      <c r="L56" s="145" t="e">
        <f>L55/K35</f>
        <v>#DIV/0!</v>
      </c>
    </row>
  </sheetData>
  <sheetProtection password="CF66" sheet="1" objects="1" scenarios="1"/>
  <mergeCells count="37">
    <mergeCell ref="B18:C18"/>
    <mergeCell ref="B10:D10"/>
    <mergeCell ref="B11:C11"/>
    <mergeCell ref="B12:C12"/>
    <mergeCell ref="B13:C13"/>
    <mergeCell ref="A1:F1"/>
    <mergeCell ref="A2:F2"/>
    <mergeCell ref="B5:C5"/>
    <mergeCell ref="B7:F7"/>
    <mergeCell ref="A52:F52"/>
    <mergeCell ref="B30:F30"/>
    <mergeCell ref="B35:F35"/>
    <mergeCell ref="E39:F39"/>
    <mergeCell ref="D43:E43"/>
    <mergeCell ref="B19:C19"/>
    <mergeCell ref="B20:C20"/>
    <mergeCell ref="B22:E22"/>
    <mergeCell ref="B24:F24"/>
    <mergeCell ref="H7:O7"/>
    <mergeCell ref="M11:O11"/>
    <mergeCell ref="M12:N12"/>
    <mergeCell ref="M13:N13"/>
    <mergeCell ref="E48:F48"/>
    <mergeCell ref="B49:C49"/>
    <mergeCell ref="E49:F49"/>
    <mergeCell ref="B14:C14"/>
    <mergeCell ref="B15:C15"/>
    <mergeCell ref="B17:D17"/>
    <mergeCell ref="I55:K55"/>
    <mergeCell ref="I38:J38"/>
    <mergeCell ref="J42:K42"/>
    <mergeCell ref="I46:L46"/>
    <mergeCell ref="I50:L50"/>
    <mergeCell ref="M14:N14"/>
    <mergeCell ref="M15:N15"/>
    <mergeCell ref="I36:K36"/>
    <mergeCell ref="I37:J37"/>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20"/>
  <sheetViews>
    <sheetView rightToLeft="1" zoomScalePageLayoutView="0" workbookViewId="0" topLeftCell="A1">
      <selection activeCell="D20" sqref="D20"/>
    </sheetView>
  </sheetViews>
  <sheetFormatPr defaultColWidth="9.140625" defaultRowHeight="12.75"/>
  <cols>
    <col min="2" max="2" width="7.57421875" style="0" bestFit="1" customWidth="1"/>
    <col min="4" max="4" width="10.7109375" style="0" bestFit="1" customWidth="1"/>
    <col min="6" max="6" width="49.140625" style="0" customWidth="1"/>
  </cols>
  <sheetData>
    <row r="1" spans="1:6" ht="18">
      <c r="A1" s="311" t="s">
        <v>111</v>
      </c>
      <c r="B1" s="311"/>
      <c r="C1" s="311"/>
      <c r="D1" s="311"/>
      <c r="E1" s="311"/>
      <c r="F1" s="311"/>
    </row>
    <row r="2" spans="1:6" ht="15.75">
      <c r="A2" s="312" t="s">
        <v>108</v>
      </c>
      <c r="B2" s="312"/>
      <c r="C2" s="312"/>
      <c r="D2" s="312"/>
      <c r="E2" s="312"/>
      <c r="F2" s="312"/>
    </row>
    <row r="3" spans="1:6" ht="18">
      <c r="A3" s="15"/>
      <c r="B3" s="24"/>
      <c r="C3" s="24"/>
      <c r="D3" s="24"/>
      <c r="E3" s="24"/>
      <c r="F3" s="153">
        <f ca="1">TODAY()</f>
        <v>43414</v>
      </c>
    </row>
    <row r="4" spans="1:6" ht="18">
      <c r="A4" s="15"/>
      <c r="B4" s="154" t="s">
        <v>53</v>
      </c>
      <c r="C4" s="24"/>
      <c r="D4" s="24"/>
      <c r="E4" s="24"/>
      <c r="F4" s="24"/>
    </row>
    <row r="5" spans="1:6" ht="18">
      <c r="A5" s="15"/>
      <c r="B5" s="378" t="s">
        <v>92</v>
      </c>
      <c r="C5" s="378"/>
      <c r="D5" s="24"/>
      <c r="E5" s="24"/>
      <c r="F5" s="4"/>
    </row>
    <row r="6" spans="1:6" ht="18">
      <c r="A6" s="89"/>
      <c r="B6" s="89"/>
      <c r="C6" s="24"/>
      <c r="D6" s="24"/>
      <c r="E6" s="24"/>
      <c r="F6" s="24"/>
    </row>
    <row r="7" spans="1:6" ht="15">
      <c r="A7" s="4"/>
      <c r="B7" s="379" t="s">
        <v>54</v>
      </c>
      <c r="C7" s="379"/>
      <c r="D7" s="379"/>
      <c r="E7" s="379"/>
      <c r="F7" s="379"/>
    </row>
    <row r="8" spans="1:6" ht="18">
      <c r="A8" s="89"/>
      <c r="B8" s="89"/>
      <c r="C8" s="24"/>
      <c r="D8" s="24"/>
      <c r="E8" s="24"/>
      <c r="F8" s="24"/>
    </row>
    <row r="9" spans="1:6" ht="18.75" thickBot="1">
      <c r="A9" s="15"/>
      <c r="B9" s="24"/>
      <c r="C9" s="24"/>
      <c r="D9" s="24"/>
      <c r="E9" s="24"/>
      <c r="F9" s="24"/>
    </row>
    <row r="10" spans="1:6" ht="15.75" thickBot="1">
      <c r="A10" s="15"/>
      <c r="B10" s="347" t="s">
        <v>90</v>
      </c>
      <c r="C10" s="348"/>
      <c r="D10" s="349"/>
      <c r="E10" s="4"/>
      <c r="F10" s="155"/>
    </row>
    <row r="11" spans="1:6" ht="12.75">
      <c r="A11" s="15"/>
      <c r="B11" s="376" t="s">
        <v>55</v>
      </c>
      <c r="C11" s="377"/>
      <c r="D11" s="232">
        <f>O7</f>
        <v>0</v>
      </c>
      <c r="E11" s="155"/>
      <c r="F11" s="155"/>
    </row>
    <row r="12" spans="1:6" ht="12.75">
      <c r="A12" s="15"/>
      <c r="B12" s="376" t="s">
        <v>56</v>
      </c>
      <c r="C12" s="377"/>
      <c r="D12" s="233">
        <f>O8</f>
        <v>0</v>
      </c>
      <c r="E12" s="155"/>
      <c r="F12" s="155"/>
    </row>
    <row r="13" spans="1:6" ht="12.75">
      <c r="A13" s="15"/>
      <c r="B13" s="376" t="s">
        <v>81</v>
      </c>
      <c r="C13" s="377"/>
      <c r="D13" s="233">
        <f>O9</f>
        <v>0</v>
      </c>
      <c r="E13" s="155"/>
      <c r="F13" s="155"/>
    </row>
    <row r="14" spans="1:6" ht="12.75">
      <c r="A14" s="15"/>
      <c r="B14" s="354" t="s">
        <v>87</v>
      </c>
      <c r="C14" s="355"/>
      <c r="D14" s="233">
        <f>O10</f>
        <v>0</v>
      </c>
      <c r="E14" s="155"/>
      <c r="F14" s="155"/>
    </row>
    <row r="15" spans="1:6" ht="13.5" thickBot="1">
      <c r="A15" s="15"/>
      <c r="B15" s="356" t="s">
        <v>99</v>
      </c>
      <c r="C15" s="357"/>
      <c r="D15" s="234">
        <f>N19</f>
        <v>0</v>
      </c>
      <c r="E15" s="4"/>
      <c r="F15" s="155"/>
    </row>
    <row r="16" spans="1:6" ht="12.75">
      <c r="A16" s="15"/>
      <c r="B16" s="15"/>
      <c r="C16" s="15"/>
      <c r="D16" s="102"/>
      <c r="E16" s="58"/>
      <c r="F16" s="155"/>
    </row>
    <row r="17" spans="1:6" ht="16.5" thickBot="1">
      <c r="A17" s="15"/>
      <c r="B17" s="358" t="s">
        <v>57</v>
      </c>
      <c r="C17" s="358"/>
      <c r="D17" s="358"/>
      <c r="E17" s="4"/>
      <c r="F17" s="223"/>
    </row>
    <row r="18" spans="1:6" ht="16.5" thickBot="1">
      <c r="A18" s="15"/>
      <c r="B18" s="368" t="s">
        <v>58</v>
      </c>
      <c r="C18" s="369"/>
      <c r="D18" s="215">
        <v>37</v>
      </c>
      <c r="E18" s="223"/>
      <c r="F18" s="223"/>
    </row>
    <row r="19" spans="1:6" ht="16.5" thickBot="1">
      <c r="A19" s="15"/>
      <c r="B19" s="368" t="s">
        <v>59</v>
      </c>
      <c r="C19" s="369"/>
      <c r="D19" s="216">
        <v>20000</v>
      </c>
      <c r="E19" s="223"/>
      <c r="F19" s="223"/>
    </row>
    <row r="20" spans="1:6" ht="16.5" thickBot="1">
      <c r="A20" s="15"/>
      <c r="B20" s="368" t="s">
        <v>60</v>
      </c>
      <c r="C20" s="369"/>
      <c r="D20" s="158" t="e">
        <f>VLOOKUP(D19,I20:K26,3)</f>
        <v>#N/A</v>
      </c>
      <c r="E20" s="4"/>
      <c r="F20" s="223"/>
    </row>
  </sheetData>
  <sheetProtection/>
  <mergeCells count="14">
    <mergeCell ref="B12:C12"/>
    <mergeCell ref="B13:C13"/>
    <mergeCell ref="B19:C19"/>
    <mergeCell ref="B20:C20"/>
    <mergeCell ref="B14:C14"/>
    <mergeCell ref="B15:C15"/>
    <mergeCell ref="B17:D17"/>
    <mergeCell ref="B18:C18"/>
    <mergeCell ref="A1:F1"/>
    <mergeCell ref="A2:F2"/>
    <mergeCell ref="B5:C5"/>
    <mergeCell ref="B7:F7"/>
    <mergeCell ref="B10:D10"/>
    <mergeCell ref="B11:C1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גיליון16"/>
  <dimension ref="A1:Q63"/>
  <sheetViews>
    <sheetView rightToLeft="1" tabSelected="1" zoomScalePageLayoutView="0" workbookViewId="0" topLeftCell="A1">
      <selection activeCell="R22" sqref="R22"/>
    </sheetView>
  </sheetViews>
  <sheetFormatPr defaultColWidth="9.140625" defaultRowHeight="12.75"/>
  <cols>
    <col min="1" max="1" width="7.140625" style="0" customWidth="1"/>
    <col min="2" max="2" width="12.00390625" style="4" customWidth="1"/>
    <col min="3" max="3" width="18.421875" style="4" customWidth="1"/>
    <col min="4" max="4" width="17.7109375" style="4" customWidth="1"/>
    <col min="5" max="5" width="17.8515625" style="4" bestFit="1" customWidth="1"/>
    <col min="6" max="6" width="16.28125" style="182" bestFit="1" customWidth="1"/>
    <col min="7" max="7" width="9.57421875" style="0" hidden="1" customWidth="1"/>
    <col min="8" max="8" width="9.140625" style="0" hidden="1" customWidth="1"/>
    <col min="9" max="9" width="17.28125" style="0" hidden="1" customWidth="1"/>
    <col min="10" max="10" width="9.140625" style="0" hidden="1" customWidth="1"/>
    <col min="11" max="11" width="9.421875" style="0" hidden="1" customWidth="1"/>
    <col min="12" max="12" width="9.140625" style="0" hidden="1" customWidth="1"/>
    <col min="13" max="13" width="53.140625" style="0" hidden="1" customWidth="1"/>
    <col min="14" max="14" width="17.8515625" style="0" hidden="1" customWidth="1"/>
    <col min="15" max="15" width="18.8515625" style="0" hidden="1" customWidth="1"/>
    <col min="16" max="16" width="7.421875" style="0" hidden="1" customWidth="1"/>
    <col min="17" max="17" width="22.57421875" style="0" bestFit="1" customWidth="1"/>
    <col min="18" max="18" width="21.140625" style="0" customWidth="1"/>
    <col min="19" max="19" width="10.00390625" style="0" bestFit="1" customWidth="1"/>
  </cols>
  <sheetData>
    <row r="1" spans="1:8" ht="18">
      <c r="A1" s="311" t="s">
        <v>107</v>
      </c>
      <c r="B1" s="311"/>
      <c r="C1" s="311"/>
      <c r="D1" s="311"/>
      <c r="E1" s="311"/>
      <c r="F1" s="311"/>
      <c r="G1" s="150"/>
      <c r="H1" s="151" t="s">
        <v>52</v>
      </c>
    </row>
    <row r="2" spans="1:15" ht="15.75">
      <c r="A2" s="312" t="s">
        <v>132</v>
      </c>
      <c r="B2" s="312"/>
      <c r="C2" s="312"/>
      <c r="D2" s="312"/>
      <c r="E2" s="312"/>
      <c r="F2" s="312"/>
      <c r="G2" s="152"/>
      <c r="H2" s="344" t="s">
        <v>92</v>
      </c>
      <c r="I2" s="345"/>
      <c r="J2" s="345"/>
      <c r="K2" s="345"/>
      <c r="L2" s="345"/>
      <c r="M2" s="345"/>
      <c r="N2" s="345"/>
      <c r="O2" s="346"/>
    </row>
    <row r="3" spans="1:6" ht="18">
      <c r="A3" s="15"/>
      <c r="B3" s="24"/>
      <c r="C3" s="24"/>
      <c r="D3" s="24"/>
      <c r="E3" s="24"/>
      <c r="F3" s="153">
        <f ca="1">TODAY()</f>
        <v>43414</v>
      </c>
    </row>
    <row r="4" spans="1:6" ht="18">
      <c r="A4" s="15"/>
      <c r="B4" s="154" t="s">
        <v>53</v>
      </c>
      <c r="C4" s="24"/>
      <c r="D4" s="24"/>
      <c r="E4" s="24"/>
      <c r="F4" s="24"/>
    </row>
    <row r="5" spans="1:15" ht="18.75" thickBot="1">
      <c r="A5" s="15"/>
      <c r="B5" s="378" t="s">
        <v>130</v>
      </c>
      <c r="C5" s="378"/>
      <c r="D5" s="24"/>
      <c r="E5" s="24"/>
      <c r="F5" s="4"/>
      <c r="M5" s="3"/>
      <c r="N5" s="3"/>
      <c r="O5" s="3"/>
    </row>
    <row r="6" spans="1:15" s="4" customFormat="1" ht="12" customHeight="1" thickBot="1">
      <c r="A6" s="89"/>
      <c r="B6" s="89"/>
      <c r="C6" s="24"/>
      <c r="D6" s="24"/>
      <c r="E6" s="24"/>
      <c r="F6" s="24"/>
      <c r="I6" s="263" t="s">
        <v>35</v>
      </c>
      <c r="J6" s="264" t="s">
        <v>36</v>
      </c>
      <c r="K6" s="265">
        <v>2018</v>
      </c>
      <c r="M6" s="347" t="s">
        <v>133</v>
      </c>
      <c r="N6" s="348"/>
      <c r="O6" s="349"/>
    </row>
    <row r="7" spans="2:15" s="4" customFormat="1" ht="12" customHeight="1">
      <c r="B7" s="379" t="s">
        <v>54</v>
      </c>
      <c r="C7" s="379"/>
      <c r="D7" s="379"/>
      <c r="E7" s="379"/>
      <c r="F7" s="379"/>
      <c r="G7" s="254"/>
      <c r="H7" s="6"/>
      <c r="I7" s="266">
        <v>0</v>
      </c>
      <c r="J7" s="270">
        <v>74880</v>
      </c>
      <c r="K7" s="267">
        <v>0.1</v>
      </c>
      <c r="M7" s="350" t="s">
        <v>55</v>
      </c>
      <c r="N7" s="351"/>
      <c r="O7" s="214">
        <v>9906</v>
      </c>
    </row>
    <row r="8" spans="1:15" s="4" customFormat="1" ht="12" customHeight="1">
      <c r="A8" s="89"/>
      <c r="B8" s="89"/>
      <c r="C8" s="24"/>
      <c r="D8" s="24"/>
      <c r="E8" s="24"/>
      <c r="F8" s="24"/>
      <c r="G8" s="6"/>
      <c r="H8" s="6"/>
      <c r="I8" s="266">
        <f aca="true" t="shared" si="0" ref="I8:I13">J7+1</f>
        <v>74881</v>
      </c>
      <c r="J8" s="270">
        <v>107400</v>
      </c>
      <c r="K8" s="267">
        <v>0.14</v>
      </c>
      <c r="M8" s="339" t="s">
        <v>56</v>
      </c>
      <c r="N8" s="340"/>
      <c r="O8" s="51">
        <f>N14/12</f>
        <v>17400</v>
      </c>
    </row>
    <row r="9" spans="1:15" ht="12" customHeight="1" thickBot="1">
      <c r="A9" s="15"/>
      <c r="B9" s="24"/>
      <c r="C9" s="24"/>
      <c r="D9" s="24"/>
      <c r="E9" s="24"/>
      <c r="F9" s="24"/>
      <c r="G9" s="3"/>
      <c r="H9" s="3"/>
      <c r="I9" s="266">
        <f t="shared" si="0"/>
        <v>107401</v>
      </c>
      <c r="J9" s="270">
        <v>172320</v>
      </c>
      <c r="K9" s="267">
        <v>0.2</v>
      </c>
      <c r="M9" s="339" t="s">
        <v>81</v>
      </c>
      <c r="N9" s="340"/>
      <c r="O9" s="51">
        <v>34452</v>
      </c>
    </row>
    <row r="10" spans="1:15" ht="15.75" thickBot="1">
      <c r="A10" s="15"/>
      <c r="B10" s="347" t="s">
        <v>133</v>
      </c>
      <c r="C10" s="348"/>
      <c r="D10" s="349"/>
      <c r="F10" s="155"/>
      <c r="G10" s="3"/>
      <c r="H10" s="3"/>
      <c r="I10" s="266">
        <f t="shared" si="0"/>
        <v>172321</v>
      </c>
      <c r="J10" s="270">
        <v>239520</v>
      </c>
      <c r="K10" s="267">
        <v>0.31</v>
      </c>
      <c r="M10" s="341" t="s">
        <v>87</v>
      </c>
      <c r="N10" s="342"/>
      <c r="O10" s="156">
        <f>N17/12</f>
        <v>21750</v>
      </c>
    </row>
    <row r="11" spans="1:15" ht="13.5" thickBot="1">
      <c r="A11" s="15"/>
      <c r="B11" s="376" t="s">
        <v>55</v>
      </c>
      <c r="C11" s="377"/>
      <c r="D11" s="232">
        <f>O7</f>
        <v>9906</v>
      </c>
      <c r="E11" s="155"/>
      <c r="F11" s="155"/>
      <c r="G11" s="3"/>
      <c r="H11" s="3"/>
      <c r="I11" s="266">
        <f t="shared" si="0"/>
        <v>239521</v>
      </c>
      <c r="J11" s="270">
        <v>498360</v>
      </c>
      <c r="K11" s="267">
        <v>0.35</v>
      </c>
      <c r="M11" s="3"/>
      <c r="N11" s="3"/>
      <c r="O11" s="209"/>
    </row>
    <row r="12" spans="1:15" ht="13.5" thickBot="1">
      <c r="A12" s="15"/>
      <c r="B12" s="415" t="s">
        <v>146</v>
      </c>
      <c r="C12" s="377"/>
      <c r="D12" s="233">
        <f>O8</f>
        <v>17400</v>
      </c>
      <c r="E12" s="155"/>
      <c r="F12" s="155"/>
      <c r="G12" s="3"/>
      <c r="H12" s="3"/>
      <c r="I12" s="271">
        <f t="shared" si="0"/>
        <v>498361</v>
      </c>
      <c r="J12" s="272">
        <v>641880</v>
      </c>
      <c r="K12" s="273">
        <v>0.47</v>
      </c>
      <c r="M12" s="225" t="s">
        <v>97</v>
      </c>
      <c r="N12" s="226">
        <v>2018</v>
      </c>
      <c r="O12" s="209"/>
    </row>
    <row r="13" spans="1:15" ht="13.5" thickBot="1">
      <c r="A13" s="15"/>
      <c r="B13" s="415" t="s">
        <v>145</v>
      </c>
      <c r="C13" s="377"/>
      <c r="D13" s="233">
        <f>O9</f>
        <v>34452</v>
      </c>
      <c r="E13" s="155"/>
      <c r="F13" s="155"/>
      <c r="I13" s="141">
        <f t="shared" si="0"/>
        <v>641881</v>
      </c>
      <c r="J13" s="274">
        <v>9999999</v>
      </c>
      <c r="K13" s="279">
        <v>0.5</v>
      </c>
      <c r="M13" s="300"/>
      <c r="N13" s="301"/>
      <c r="O13" s="209"/>
    </row>
    <row r="14" spans="1:15" ht="12.75">
      <c r="A14" s="15"/>
      <c r="B14" s="354" t="s">
        <v>87</v>
      </c>
      <c r="C14" s="355"/>
      <c r="D14" s="233">
        <f>O10</f>
        <v>21750</v>
      </c>
      <c r="E14" s="155"/>
      <c r="F14" s="155"/>
      <c r="M14" s="298" t="s">
        <v>136</v>
      </c>
      <c r="N14" s="297">
        <v>208800</v>
      </c>
      <c r="O14" s="3"/>
    </row>
    <row r="15" spans="1:15" ht="13.5" thickBot="1">
      <c r="A15" s="15"/>
      <c r="B15" s="356" t="s">
        <v>113</v>
      </c>
      <c r="C15" s="357"/>
      <c r="D15" s="234">
        <f>N19</f>
        <v>11745</v>
      </c>
      <c r="F15" s="155"/>
      <c r="M15" s="298"/>
      <c r="N15" s="297"/>
      <c r="O15" s="3"/>
    </row>
    <row r="16" spans="1:15" ht="12.75">
      <c r="A16" s="15"/>
      <c r="B16" s="15"/>
      <c r="C16" s="15"/>
      <c r="D16" s="102"/>
      <c r="E16" s="58"/>
      <c r="F16" s="155"/>
      <c r="M16" s="298"/>
      <c r="N16" s="297"/>
      <c r="O16" s="3"/>
    </row>
    <row r="17" spans="1:14" ht="16.5" customHeight="1" thickBot="1">
      <c r="A17" s="15"/>
      <c r="B17" s="358" t="s">
        <v>57</v>
      </c>
      <c r="C17" s="358"/>
      <c r="D17" s="358"/>
      <c r="F17" s="223"/>
      <c r="M17" s="266" t="s">
        <v>114</v>
      </c>
      <c r="N17" s="297">
        <v>261000</v>
      </c>
    </row>
    <row r="18" spans="1:14" ht="16.5" thickBot="1">
      <c r="A18" s="15"/>
      <c r="B18" s="368" t="s">
        <v>58</v>
      </c>
      <c r="C18" s="369"/>
      <c r="D18" s="308">
        <v>44</v>
      </c>
      <c r="E18" s="223"/>
      <c r="F18" s="223"/>
      <c r="M18" s="266"/>
      <c r="N18" s="297"/>
    </row>
    <row r="19" spans="1:14" ht="16.5" thickBot="1">
      <c r="A19" s="15"/>
      <c r="B19" s="368" t="s">
        <v>59</v>
      </c>
      <c r="C19" s="369"/>
      <c r="D19" s="307">
        <v>36000</v>
      </c>
      <c r="E19" s="223"/>
      <c r="F19" s="223"/>
      <c r="M19" s="302" t="s">
        <v>135</v>
      </c>
      <c r="N19" s="297">
        <v>11745</v>
      </c>
    </row>
    <row r="20" spans="1:14" ht="16.5" thickBot="1">
      <c r="A20" s="15"/>
      <c r="B20" s="368" t="s">
        <v>60</v>
      </c>
      <c r="C20" s="369"/>
      <c r="D20" s="306">
        <f>VLOOKUP(D19,I20:K27,3)</f>
        <v>0.35</v>
      </c>
      <c r="F20" s="223"/>
      <c r="I20" s="275">
        <f>I7/12</f>
        <v>0</v>
      </c>
      <c r="J20" s="276">
        <f>J7/12</f>
        <v>6240</v>
      </c>
      <c r="K20" s="277">
        <f>K7</f>
        <v>0.1</v>
      </c>
      <c r="M20" s="266"/>
      <c r="N20" s="297"/>
    </row>
    <row r="21" spans="1:14" ht="16.5" customHeight="1" thickBot="1">
      <c r="A21" s="15"/>
      <c r="B21" s="403" t="s">
        <v>142</v>
      </c>
      <c r="C21" s="404"/>
      <c r="D21" s="407">
        <f>P26</f>
        <v>842.01</v>
      </c>
      <c r="E21" s="15"/>
      <c r="F21" s="89"/>
      <c r="I21" s="278">
        <f>I8/12+1</f>
        <v>6241.083333333333</v>
      </c>
      <c r="J21" s="114">
        <f>J8/12</f>
        <v>8950</v>
      </c>
      <c r="K21" s="267">
        <f>K8</f>
        <v>0.14</v>
      </c>
      <c r="M21" s="141" t="s">
        <v>134</v>
      </c>
      <c r="N21" s="299">
        <v>18240</v>
      </c>
    </row>
    <row r="22" spans="1:14" ht="15.75" customHeight="1" thickBot="1">
      <c r="A22" s="15"/>
      <c r="B22" s="405"/>
      <c r="C22" s="406"/>
      <c r="D22" s="408"/>
      <c r="E22" s="15"/>
      <c r="F22" s="89"/>
      <c r="I22" s="278"/>
      <c r="J22" s="114"/>
      <c r="K22" s="267"/>
      <c r="M22" s="3"/>
      <c r="N22" s="3"/>
    </row>
    <row r="23" spans="1:11" ht="16.5" thickBot="1">
      <c r="A23" s="15"/>
      <c r="B23" s="386" t="s">
        <v>141</v>
      </c>
      <c r="C23" s="387"/>
      <c r="D23" s="387"/>
      <c r="E23" s="388"/>
      <c r="F23" s="159">
        <f>MIN(D19,D12)</f>
        <v>17400</v>
      </c>
      <c r="I23" s="278">
        <f>I9/12+1</f>
        <v>8951.083333333334</v>
      </c>
      <c r="J23" s="114">
        <f>J9/12</f>
        <v>14360</v>
      </c>
      <c r="K23" s="267">
        <f>K9</f>
        <v>0.2</v>
      </c>
    </row>
    <row r="24" spans="2:16" ht="27" customHeight="1" thickBot="1">
      <c r="B24" s="235"/>
      <c r="C24" s="235"/>
      <c r="D24" s="235"/>
      <c r="E24" s="235"/>
      <c r="F24" s="236"/>
      <c r="I24" s="278"/>
      <c r="J24" s="114"/>
      <c r="K24" s="267"/>
      <c r="M24" s="384" t="s">
        <v>137</v>
      </c>
      <c r="N24" s="380" t="s">
        <v>138</v>
      </c>
      <c r="O24" s="380" t="s">
        <v>139</v>
      </c>
      <c r="P24" s="382" t="s">
        <v>140</v>
      </c>
    </row>
    <row r="25" spans="1:16" ht="15.75" thickBot="1">
      <c r="A25" s="15"/>
      <c r="B25" s="400" t="s">
        <v>106</v>
      </c>
      <c r="C25" s="401"/>
      <c r="D25" s="401"/>
      <c r="E25" s="401"/>
      <c r="F25" s="402"/>
      <c r="I25" s="278">
        <f>I10/12+1</f>
        <v>14361.083333333334</v>
      </c>
      <c r="J25" s="114">
        <f>J10/12</f>
        <v>19960</v>
      </c>
      <c r="K25" s="267">
        <f>K10</f>
        <v>0.31</v>
      </c>
      <c r="M25" s="385"/>
      <c r="N25" s="381"/>
      <c r="O25" s="381"/>
      <c r="P25" s="383"/>
    </row>
    <row r="26" spans="1:16" s="6" customFormat="1" ht="13.5" thickBot="1">
      <c r="A26" s="16"/>
      <c r="B26" s="250" t="s">
        <v>62</v>
      </c>
      <c r="C26" s="251" t="s">
        <v>93</v>
      </c>
      <c r="D26" s="251" t="s">
        <v>20</v>
      </c>
      <c r="E26" s="251" t="s">
        <v>100</v>
      </c>
      <c r="F26" s="252" t="s">
        <v>95</v>
      </c>
      <c r="I26" s="278">
        <f>I11/12+1</f>
        <v>19961.083333333332</v>
      </c>
      <c r="J26" s="114">
        <f>J11/12</f>
        <v>41530</v>
      </c>
      <c r="K26" s="267">
        <f>K11</f>
        <v>0.35</v>
      </c>
      <c r="M26" s="303">
        <f>D19</f>
        <v>36000</v>
      </c>
      <c r="N26" s="304">
        <f>(O7/2)*4.45%</f>
        <v>220.40850000000003</v>
      </c>
      <c r="O26" s="238">
        <f>IF(D19&gt;O7,(O7/2)*12.55%,(D19-(O7/2))*12.55%)</f>
        <v>621.6015</v>
      </c>
      <c r="P26" s="305">
        <f>N26+O26</f>
        <v>842.01</v>
      </c>
    </row>
    <row r="27" spans="1:11" ht="12.75">
      <c r="A27" s="15"/>
      <c r="B27" s="239">
        <v>45</v>
      </c>
      <c r="C27" s="296">
        <v>0.055</v>
      </c>
      <c r="D27" s="228">
        <v>0.35</v>
      </c>
      <c r="E27" s="259">
        <f>N14*C27</f>
        <v>11484</v>
      </c>
      <c r="F27" s="262">
        <f>MIN(E27*D27,C27*F23)*D27*12</f>
        <v>4019.3999999999996</v>
      </c>
      <c r="I27" s="278">
        <f>I12/12+1</f>
        <v>41531.083333333336</v>
      </c>
      <c r="J27" s="114">
        <f>J12/12</f>
        <v>53490</v>
      </c>
      <c r="K27" s="267">
        <f>K12</f>
        <v>0.47</v>
      </c>
    </row>
    <row r="28" spans="2:11" ht="13.5" thickBot="1">
      <c r="B28" s="237">
        <v>47</v>
      </c>
      <c r="C28" s="227">
        <v>0.11</v>
      </c>
      <c r="D28" s="228">
        <f>D20</f>
        <v>0.35</v>
      </c>
      <c r="E28" s="260">
        <f>N14*C28</f>
        <v>22968</v>
      </c>
      <c r="F28" s="262">
        <f>MIN(E28*D28,C28*F23)*D28*12</f>
        <v>8038.799999999999</v>
      </c>
      <c r="G28" s="3"/>
      <c r="I28" s="278">
        <f>I13/12+1</f>
        <v>53491.083333333336</v>
      </c>
      <c r="J28" s="133">
        <v>999999</v>
      </c>
      <c r="K28" s="279">
        <f>K13</f>
        <v>0.5</v>
      </c>
    </row>
    <row r="29" spans="1:7" ht="13.5" thickBot="1">
      <c r="A29" s="18"/>
      <c r="B29" s="242" t="s">
        <v>101</v>
      </c>
      <c r="C29" s="295">
        <v>0.165</v>
      </c>
      <c r="D29" s="238"/>
      <c r="E29" s="261">
        <f>N14*C29</f>
        <v>34452</v>
      </c>
      <c r="F29" s="249">
        <f>SUM(F27:F28)</f>
        <v>12058.199999999999</v>
      </c>
      <c r="G29" s="3"/>
    </row>
    <row r="30" spans="1:17" ht="13.5" thickBot="1">
      <c r="A30" s="18"/>
      <c r="G30" s="3"/>
      <c r="Q30" s="253"/>
    </row>
    <row r="31" spans="1:12" ht="15.75" thickBot="1">
      <c r="A31" s="16"/>
      <c r="B31" s="389" t="s">
        <v>119</v>
      </c>
      <c r="C31" s="390"/>
      <c r="D31" s="390"/>
      <c r="E31" s="390"/>
      <c r="F31" s="391"/>
      <c r="J31" s="10" t="s">
        <v>61</v>
      </c>
      <c r="K31" s="8">
        <f>F23</f>
        <v>17400</v>
      </c>
      <c r="L31" s="3"/>
    </row>
    <row r="32" spans="1:12" ht="12.75">
      <c r="A32" s="15"/>
      <c r="B32" s="160" t="s">
        <v>62</v>
      </c>
      <c r="C32" s="161" t="s">
        <v>103</v>
      </c>
      <c r="D32" s="162" t="s">
        <v>20</v>
      </c>
      <c r="E32" s="163" t="s">
        <v>63</v>
      </c>
      <c r="F32" s="37" t="s">
        <v>102</v>
      </c>
      <c r="I32" s="392" t="s">
        <v>131</v>
      </c>
      <c r="J32" s="343"/>
      <c r="K32" s="335"/>
      <c r="L32" s="3"/>
    </row>
    <row r="33" spans="1:12" ht="12.75">
      <c r="A33" s="15"/>
      <c r="B33" s="240">
        <v>45</v>
      </c>
      <c r="C33" s="164">
        <v>0.055</v>
      </c>
      <c r="D33" s="228">
        <v>0.35</v>
      </c>
      <c r="E33" s="217">
        <f>MIN(F23*C33,C33*D12)</f>
        <v>957</v>
      </c>
      <c r="F33" s="220">
        <f>E33*D33</f>
        <v>334.95</v>
      </c>
      <c r="G33" s="3"/>
      <c r="I33" s="334" t="s">
        <v>64</v>
      </c>
      <c r="J33" s="335"/>
      <c r="K33" s="13">
        <f>O7</f>
        <v>9906</v>
      </c>
      <c r="L33" s="165"/>
    </row>
    <row r="34" spans="1:12" ht="13.5" thickBot="1">
      <c r="A34" s="15"/>
      <c r="B34" s="241">
        <v>47</v>
      </c>
      <c r="C34" s="166">
        <f>IF(D18&lt;=50,11%,11%*1.5)</f>
        <v>0.11</v>
      </c>
      <c r="D34" s="243">
        <f>D20</f>
        <v>0.35</v>
      </c>
      <c r="E34" s="291">
        <f>MIN(F23*C34,11%*D12)</f>
        <v>1914</v>
      </c>
      <c r="F34" s="292">
        <f>E34*D34</f>
        <v>669.9</v>
      </c>
      <c r="G34" s="3"/>
      <c r="I34" s="394" t="s">
        <v>65</v>
      </c>
      <c r="J34" s="394"/>
      <c r="K34" s="13">
        <v>73422</v>
      </c>
      <c r="L34" s="3"/>
    </row>
    <row r="35" spans="1:12" ht="13.5" thickBot="1">
      <c r="A35" s="15"/>
      <c r="B35" s="290"/>
      <c r="C35" s="186"/>
      <c r="D35" s="208"/>
      <c r="E35" s="293">
        <f>SUM(E33:E34)</f>
        <v>2871</v>
      </c>
      <c r="F35" s="294">
        <f>SUM(F33:F34)</f>
        <v>1004.8499999999999</v>
      </c>
      <c r="G35" s="3"/>
      <c r="I35" s="280"/>
      <c r="J35" s="281"/>
      <c r="K35" s="13"/>
      <c r="L35" s="3"/>
    </row>
    <row r="36" spans="1:12" ht="13.5" thickBot="1">
      <c r="A36" s="76"/>
      <c r="B36" s="77"/>
      <c r="C36" s="78"/>
      <c r="D36" s="64"/>
      <c r="E36" s="58"/>
      <c r="F36" s="16"/>
      <c r="G36" s="3"/>
      <c r="I36" s="334" t="s">
        <v>79</v>
      </c>
      <c r="J36" s="335"/>
      <c r="K36" s="13">
        <f>N17</f>
        <v>261000</v>
      </c>
      <c r="L36" s="3"/>
    </row>
    <row r="37" spans="1:7" s="3" customFormat="1" ht="15.75" thickBot="1">
      <c r="A37" s="76"/>
      <c r="B37" s="397" t="s">
        <v>115</v>
      </c>
      <c r="C37" s="398"/>
      <c r="D37" s="398"/>
      <c r="E37" s="398"/>
      <c r="F37" s="399"/>
      <c r="G37" s="167"/>
    </row>
    <row r="38" spans="1:12" ht="12.75" customHeight="1">
      <c r="A38" s="76"/>
      <c r="B38" s="244" t="s">
        <v>62</v>
      </c>
      <c r="C38" s="268" t="s">
        <v>118</v>
      </c>
      <c r="D38" s="269" t="s">
        <v>117</v>
      </c>
      <c r="E38" s="247" t="s">
        <v>144</v>
      </c>
      <c r="F38" s="248" t="s">
        <v>102</v>
      </c>
      <c r="J38" s="170" t="s">
        <v>67</v>
      </c>
      <c r="K38" s="170" t="s">
        <v>68</v>
      </c>
      <c r="L38" s="3"/>
    </row>
    <row r="39" spans="1:12" ht="12.75">
      <c r="A39" s="76"/>
      <c r="B39" s="409" t="s">
        <v>104</v>
      </c>
      <c r="C39" s="410">
        <v>0.045</v>
      </c>
      <c r="D39" s="411">
        <f>D20</f>
        <v>0.35</v>
      </c>
      <c r="E39" s="291">
        <f>IF((D19&lt;(D14)),D19*C39,D14*C39)</f>
        <v>978.75</v>
      </c>
      <c r="F39" s="292">
        <f>E39*D39</f>
        <v>342.5625</v>
      </c>
      <c r="G39" s="3"/>
      <c r="I39" s="123"/>
      <c r="J39" s="395" t="s">
        <v>51</v>
      </c>
      <c r="K39" s="396"/>
      <c r="L39" s="3"/>
    </row>
    <row r="40" spans="1:12" ht="12.75" customHeight="1" thickBot="1">
      <c r="A40" s="16"/>
      <c r="B40" s="412" t="s">
        <v>143</v>
      </c>
      <c r="C40" s="91"/>
      <c r="D40" s="56">
        <v>0.25</v>
      </c>
      <c r="E40" s="414">
        <f>N21/12</f>
        <v>1520</v>
      </c>
      <c r="F40" s="413">
        <v>0</v>
      </c>
      <c r="G40" s="183"/>
      <c r="I40" s="171" t="s">
        <v>44</v>
      </c>
      <c r="J40" s="129">
        <v>0.0287</v>
      </c>
      <c r="K40" s="129">
        <v>0.1283</v>
      </c>
      <c r="L40" s="3"/>
    </row>
    <row r="41" spans="1:12" ht="12.75" customHeight="1" thickBot="1">
      <c r="A41" s="16"/>
      <c r="B41" s="16"/>
      <c r="C41" s="16"/>
      <c r="D41" s="18"/>
      <c r="E41" s="58"/>
      <c r="F41" s="16"/>
      <c r="G41" s="183"/>
      <c r="I41" s="171"/>
      <c r="J41" s="129"/>
      <c r="K41" s="129"/>
      <c r="L41" s="3"/>
    </row>
    <row r="42" spans="1:12" s="174" customFormat="1" ht="12.75" customHeight="1">
      <c r="A42" s="172"/>
      <c r="B42" s="172"/>
      <c r="C42" s="172"/>
      <c r="D42" s="172"/>
      <c r="E42" s="365" t="s">
        <v>66</v>
      </c>
      <c r="F42" s="366"/>
      <c r="I42" s="171" t="s">
        <v>45</v>
      </c>
      <c r="J42" s="129">
        <v>0.031</v>
      </c>
      <c r="K42" s="129">
        <v>0.05</v>
      </c>
      <c r="L42" s="3"/>
    </row>
    <row r="43" spans="1:12" s="174" customFormat="1" ht="12.75" customHeight="1">
      <c r="A43" s="172"/>
      <c r="B43" s="172"/>
      <c r="C43" s="172"/>
      <c r="D43" s="172"/>
      <c r="E43" s="168" t="s">
        <v>27</v>
      </c>
      <c r="F43" s="169" t="s">
        <v>102</v>
      </c>
      <c r="I43" s="3"/>
      <c r="J43" s="3"/>
      <c r="K43" s="3"/>
      <c r="L43" s="3"/>
    </row>
    <row r="44" spans="1:12" s="3" customFormat="1" ht="12.75" customHeight="1" thickBot="1">
      <c r="A44" s="16"/>
      <c r="B44" s="16"/>
      <c r="C44" s="16"/>
      <c r="D44" s="16"/>
      <c r="E44" s="79">
        <f>L54</f>
        <v>0.1377776287356322</v>
      </c>
      <c r="F44" s="221">
        <f>(E34+(E39*4.5/7))*E44</f>
        <v>350.3955733375</v>
      </c>
      <c r="I44" s="331" t="s">
        <v>72</v>
      </c>
      <c r="J44" s="332"/>
      <c r="K44" s="332"/>
      <c r="L44" s="333"/>
    </row>
    <row r="45" spans="1:12" s="3" customFormat="1" ht="13.5" thickBot="1">
      <c r="A45" s="16"/>
      <c r="B45" s="184"/>
      <c r="C45" s="185"/>
      <c r="D45" s="186"/>
      <c r="E45" s="64"/>
      <c r="F45" s="58"/>
      <c r="I45" s="13">
        <v>0</v>
      </c>
      <c r="J45" s="13">
        <f>K33*0.6</f>
        <v>5943.599999999999</v>
      </c>
      <c r="K45" s="13">
        <f>J45-I45</f>
        <v>5943.599999999999</v>
      </c>
      <c r="L45" s="147">
        <f>IF(K31&lt;K45,K31*J40,K45*J40)</f>
        <v>170.58131999999998</v>
      </c>
    </row>
    <row r="46" spans="1:12" ht="15.75" thickBot="1">
      <c r="A46" s="172"/>
      <c r="B46" s="173" t="s">
        <v>69</v>
      </c>
      <c r="C46" s="222">
        <f>E33+E34+E39</f>
        <v>3849.75</v>
      </c>
      <c r="D46" s="393" t="s">
        <v>116</v>
      </c>
      <c r="E46" s="367"/>
      <c r="F46" s="219">
        <f>F33+F34+F39+F44</f>
        <v>1697.8080733375</v>
      </c>
      <c r="I46" s="13">
        <f>J45+1</f>
        <v>5944.599999999999</v>
      </c>
      <c r="J46" s="13">
        <f>K34</f>
        <v>73422</v>
      </c>
      <c r="K46" s="13">
        <f>J46-I46</f>
        <v>67477.4</v>
      </c>
      <c r="L46" s="147">
        <f>IF(K31&gt;J46,K46*K40,(K31-I46)*K40)</f>
        <v>1469.72782</v>
      </c>
    </row>
    <row r="47" spans="1:12" ht="15.75" thickBot="1">
      <c r="A47" s="172"/>
      <c r="B47" s="175"/>
      <c r="C47" s="176"/>
      <c r="D47" s="177"/>
      <c r="E47" s="178" t="s">
        <v>71</v>
      </c>
      <c r="F47" s="179">
        <f>F46/C46</f>
        <v>0.4410177474738619</v>
      </c>
      <c r="K47" s="12" t="s">
        <v>0</v>
      </c>
      <c r="L47" s="180">
        <f>SUM(L45:L46)</f>
        <v>1640.30914</v>
      </c>
    </row>
    <row r="48" spans="1:12" ht="12.75">
      <c r="A48" s="16"/>
      <c r="B48" s="16"/>
      <c r="C48" s="16"/>
      <c r="D48" s="16"/>
      <c r="E48" s="16"/>
      <c r="F48" s="18"/>
      <c r="I48" s="331" t="s">
        <v>73</v>
      </c>
      <c r="J48" s="332"/>
      <c r="K48" s="332"/>
      <c r="L48" s="333"/>
    </row>
    <row r="49" spans="1:12" ht="15.75">
      <c r="A49" s="15"/>
      <c r="B49" s="16"/>
      <c r="C49" s="16"/>
      <c r="D49" s="258"/>
      <c r="E49" s="258"/>
      <c r="F49" s="258"/>
      <c r="I49" s="13">
        <v>0</v>
      </c>
      <c r="J49" s="146">
        <f>K33*0.6</f>
        <v>5943.599999999999</v>
      </c>
      <c r="K49" s="13">
        <f>J49-I49</f>
        <v>5943.599999999999</v>
      </c>
      <c r="L49" s="147">
        <f>IF(K31&lt;K49,K31*J42,K49*J42)</f>
        <v>184.25159999999997</v>
      </c>
    </row>
    <row r="50" spans="1:12" ht="15.75">
      <c r="A50" s="15"/>
      <c r="B50" s="16"/>
      <c r="C50" s="16"/>
      <c r="D50" s="99"/>
      <c r="E50" s="99"/>
      <c r="F50" s="101"/>
      <c r="I50" s="13">
        <f>J49+1</f>
        <v>5944.599999999999</v>
      </c>
      <c r="J50" s="146">
        <f>K34</f>
        <v>73422</v>
      </c>
      <c r="K50" s="13">
        <f>J50-I50</f>
        <v>67477.4</v>
      </c>
      <c r="L50" s="147">
        <f>IF(K31&gt;J50,K50*K42,(K31-I50)*K42)</f>
        <v>572.7700000000001</v>
      </c>
    </row>
    <row r="51" spans="1:12" ht="15.75">
      <c r="A51" s="15"/>
      <c r="B51" s="16"/>
      <c r="C51" s="16"/>
      <c r="D51" s="99"/>
      <c r="E51" s="352" t="s">
        <v>110</v>
      </c>
      <c r="F51" s="352"/>
      <c r="K51" s="12" t="s">
        <v>0</v>
      </c>
      <c r="L51" s="115">
        <f>SUM(L49:L50)</f>
        <v>757.0216</v>
      </c>
    </row>
    <row r="52" spans="1:12" ht="15.75">
      <c r="A52" s="257"/>
      <c r="B52" s="353" t="s">
        <v>109</v>
      </c>
      <c r="C52" s="353"/>
      <c r="D52" s="99"/>
      <c r="E52" s="352" t="s">
        <v>132</v>
      </c>
      <c r="F52" s="352"/>
      <c r="L52" s="3"/>
    </row>
    <row r="53" spans="1:12" ht="15.75">
      <c r="A53" s="15"/>
      <c r="B53" s="16"/>
      <c r="C53" s="16"/>
      <c r="D53" s="99"/>
      <c r="E53" s="99"/>
      <c r="F53" s="100"/>
      <c r="I53" s="336" t="s">
        <v>74</v>
      </c>
      <c r="J53" s="336"/>
      <c r="K53" s="336"/>
      <c r="L53" s="9">
        <f>L47+L51</f>
        <v>2397.3307400000003</v>
      </c>
    </row>
    <row r="54" spans="1:12" ht="15.75">
      <c r="A54" s="15"/>
      <c r="B54" s="16"/>
      <c r="C54" s="16"/>
      <c r="D54" s="99"/>
      <c r="E54" s="99"/>
      <c r="F54" s="100"/>
      <c r="L54" s="145">
        <f>L53/K31</f>
        <v>0.1377776287356322</v>
      </c>
    </row>
    <row r="55" spans="1:6" ht="15.75">
      <c r="A55" s="312"/>
      <c r="B55" s="312"/>
      <c r="C55" s="312"/>
      <c r="D55" s="312"/>
      <c r="E55" s="312"/>
      <c r="F55" s="312"/>
    </row>
    <row r="56" spans="1:6" ht="12.75">
      <c r="A56" s="15"/>
      <c r="B56" s="16"/>
      <c r="C56" s="16"/>
      <c r="D56" s="16"/>
      <c r="E56" s="16"/>
      <c r="F56" s="64"/>
    </row>
    <row r="57" ht="12.75">
      <c r="A57" s="4"/>
    </row>
    <row r="58" spans="1:6" s="6" customFormat="1" ht="12.75">
      <c r="A58" s="4"/>
      <c r="C58" s="206"/>
      <c r="D58" s="207"/>
      <c r="E58" s="207"/>
      <c r="F58" s="208"/>
    </row>
    <row r="59" s="6" customFormat="1" ht="12.75"/>
    <row r="60" s="6" customFormat="1" ht="12.75"/>
    <row r="61" ht="12.75">
      <c r="A61" s="4"/>
    </row>
    <row r="62" spans="1:6" ht="12.75">
      <c r="A62" s="4"/>
      <c r="B62" s="6"/>
      <c r="C62" s="6"/>
      <c r="D62" s="6"/>
      <c r="E62" s="6"/>
      <c r="F62" s="181"/>
    </row>
    <row r="63" ht="12.75">
      <c r="A63" s="4"/>
    </row>
  </sheetData>
  <sheetProtection password="CF66" sheet="1"/>
  <mergeCells count="44">
    <mergeCell ref="H2:O2"/>
    <mergeCell ref="B5:C5"/>
    <mergeCell ref="B10:D10"/>
    <mergeCell ref="M6:O6"/>
    <mergeCell ref="M7:N7"/>
    <mergeCell ref="M8:N8"/>
    <mergeCell ref="M9:N9"/>
    <mergeCell ref="M10:N10"/>
    <mergeCell ref="B13:C13"/>
    <mergeCell ref="A55:F55"/>
    <mergeCell ref="B15:C15"/>
    <mergeCell ref="B14:C14"/>
    <mergeCell ref="B25:F25"/>
    <mergeCell ref="B17:D17"/>
    <mergeCell ref="B18:C18"/>
    <mergeCell ref="B19:C19"/>
    <mergeCell ref="B21:C22"/>
    <mergeCell ref="D21:D22"/>
    <mergeCell ref="I32:K32"/>
    <mergeCell ref="I33:J33"/>
    <mergeCell ref="D46:E46"/>
    <mergeCell ref="I53:K53"/>
    <mergeCell ref="I44:L44"/>
    <mergeCell ref="I48:L48"/>
    <mergeCell ref="I34:J34"/>
    <mergeCell ref="J39:K39"/>
    <mergeCell ref="B37:F37"/>
    <mergeCell ref="I36:J36"/>
    <mergeCell ref="B52:C52"/>
    <mergeCell ref="E42:F42"/>
    <mergeCell ref="B20:C20"/>
    <mergeCell ref="B23:E23"/>
    <mergeCell ref="B31:F31"/>
    <mergeCell ref="E51:F51"/>
    <mergeCell ref="E52:F52"/>
    <mergeCell ref="N24:N25"/>
    <mergeCell ref="O24:O25"/>
    <mergeCell ref="P24:P25"/>
    <mergeCell ref="M24:M25"/>
    <mergeCell ref="A1:F1"/>
    <mergeCell ref="A2:F2"/>
    <mergeCell ref="B7:F7"/>
    <mergeCell ref="B11:C11"/>
    <mergeCell ref="B12:C12"/>
  </mergeCells>
  <printOptions/>
  <pageMargins left="0.1968503937007874" right="0.1968503937007874" top="0.5905511811023623" bottom="0.5905511811023623"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F12"/>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2.75">
      <c r="B1" s="282" t="s">
        <v>120</v>
      </c>
      <c r="C1" s="282"/>
      <c r="D1" s="286"/>
      <c r="E1" s="286"/>
      <c r="F1" s="286"/>
    </row>
    <row r="2" spans="2:6" ht="12.75">
      <c r="B2" s="282" t="s">
        <v>121</v>
      </c>
      <c r="C2" s="282"/>
      <c r="D2" s="286"/>
      <c r="E2" s="286"/>
      <c r="F2" s="286"/>
    </row>
    <row r="3" spans="2:6" ht="12.75">
      <c r="B3" s="283"/>
      <c r="C3" s="283"/>
      <c r="D3" s="287"/>
      <c r="E3" s="287"/>
      <c r="F3" s="287"/>
    </row>
    <row r="4" spans="2:6" ht="38.25">
      <c r="B4" s="283" t="s">
        <v>122</v>
      </c>
      <c r="C4" s="283"/>
      <c r="D4" s="287"/>
      <c r="E4" s="287"/>
      <c r="F4" s="287"/>
    </row>
    <row r="5" spans="2:6" ht="12.75">
      <c r="B5" s="283"/>
      <c r="C5" s="283"/>
      <c r="D5" s="287"/>
      <c r="E5" s="287"/>
      <c r="F5" s="287"/>
    </row>
    <row r="6" spans="2:6" ht="12.75">
      <c r="B6" s="282" t="s">
        <v>123</v>
      </c>
      <c r="C6" s="282"/>
      <c r="D6" s="286"/>
      <c r="E6" s="286" t="s">
        <v>124</v>
      </c>
      <c r="F6" s="286" t="s">
        <v>125</v>
      </c>
    </row>
    <row r="7" spans="2:6" ht="13.5" thickBot="1">
      <c r="B7" s="283"/>
      <c r="C7" s="283"/>
      <c r="D7" s="287"/>
      <c r="E7" s="287"/>
      <c r="F7" s="287"/>
    </row>
    <row r="8" spans="2:6" ht="51.75" thickBot="1">
      <c r="B8" s="284" t="s">
        <v>126</v>
      </c>
      <c r="C8" s="285"/>
      <c r="D8" s="288"/>
      <c r="E8" s="288" t="s">
        <v>128</v>
      </c>
      <c r="F8" s="289" t="s">
        <v>127</v>
      </c>
    </row>
    <row r="9" spans="2:6" ht="13.5" thickBot="1">
      <c r="B9" s="283"/>
      <c r="C9" s="283"/>
      <c r="D9" s="287"/>
      <c r="E9" s="287"/>
      <c r="F9" s="287"/>
    </row>
    <row r="10" spans="2:6" ht="26.25" thickBot="1">
      <c r="B10" s="284" t="s">
        <v>129</v>
      </c>
      <c r="C10" s="285"/>
      <c r="D10" s="288"/>
      <c r="E10" s="288">
        <v>3</v>
      </c>
      <c r="F10" s="289" t="s">
        <v>127</v>
      </c>
    </row>
    <row r="11" spans="2:6" ht="12.75">
      <c r="B11" s="283"/>
      <c r="C11" s="283"/>
      <c r="D11" s="287"/>
      <c r="E11" s="287"/>
      <c r="F11" s="287"/>
    </row>
    <row r="12" spans="2:6" ht="12.75">
      <c r="B12" s="283"/>
      <c r="C12" s="283"/>
      <c r="D12" s="287"/>
      <c r="E12" s="287"/>
      <c r="F12" s="28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Barak-Work</cp:lastModifiedBy>
  <cp:lastPrinted>2018-11-10T19:17:39Z</cp:lastPrinted>
  <dcterms:created xsi:type="dcterms:W3CDTF">2007-04-24T09:47:31Z</dcterms:created>
  <dcterms:modified xsi:type="dcterms:W3CDTF">2018-11-10T21:34:34Z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1723331943</vt:i4>
  </property>
  <property fmtid="{D5CDD505-2E9C-101B-9397-08002B2CF9AE}" pid="3" name="_EmailSubject">
    <vt:lpwstr>מחשבונים</vt:lpwstr>
  </property>
  <property fmtid="{D5CDD505-2E9C-101B-9397-08002B2CF9AE}" pid="4" name="_AuthorEmail">
    <vt:lpwstr>barakarni@nana.co.il</vt:lpwstr>
  </property>
  <property fmtid="{D5CDD505-2E9C-101B-9397-08002B2CF9AE}" pid="5" name="_AuthorEmailDisplayName">
    <vt:lpwstr>ברק קרני</vt:lpwstr>
  </property>
  <property fmtid="{D5CDD505-2E9C-101B-9397-08002B2CF9AE}" pid="6" name="_PreviousAdHocReviewCycleID">
    <vt:i4>-361219731</vt:i4>
  </property>
  <property fmtid="{D5CDD505-2E9C-101B-9397-08002B2CF9AE}" pid="7" name="_ReviewingToolsShownOnce">
    <vt:lpwstr/>
  </property>
</Properties>
</file>